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450" yWindow="1005" windowWidth="5910" windowHeight="7140"/>
  </bookViews>
  <sheets>
    <sheet name="RESUMO" sheetId="1" r:id="rId1"/>
    <sheet name="ANALÍTICO" sheetId="2" r:id="rId2"/>
    <sheet name="MEMÓRIA DE CÁLCULO" sheetId="4" r:id="rId3"/>
    <sheet name="CRONOGRAMA" sheetId="3" r:id="rId4"/>
    <sheet name="ELE-VESTIARIOS COPA MOTORISTAS" sheetId="10" r:id="rId5"/>
    <sheet name="COPA TERREO CASARAO- copa sobre" sheetId="11" r:id="rId6"/>
    <sheet name="ELE -GABINETE SALA DE PERICIAS" sheetId="12" r:id="rId7"/>
    <sheet name="resumo cotações" sheetId="9" r:id="rId8"/>
  </sheets>
  <definedNames>
    <definedName name="_xlnm._FilterDatabase" localSheetId="1" hidden="1">ANALÍTICO!$D$16:$D$61</definedName>
    <definedName name="_xlnm.Print_Area" localSheetId="1">ANALÍTICO!$A$1:$O$1912</definedName>
    <definedName name="_xlnm.Print_Area" localSheetId="5">'COPA TERREO CASARAO- copa sobre'!$A$1:$P$146</definedName>
    <definedName name="_xlnm.Print_Area" localSheetId="3">CRONOGRAMA!$A$1:$K$107</definedName>
    <definedName name="_xlnm.Print_Area" localSheetId="6">'ELE -GABINETE SALA DE PERICIAS'!$A$1:$P$102</definedName>
    <definedName name="_xlnm.Print_Area" localSheetId="4">'ELE-VESTIARIOS COPA MOTORISTAS'!$A$1:$P$200</definedName>
    <definedName name="_xlnm.Print_Area" localSheetId="0">RESUMO!$A$1:$D$50</definedName>
    <definedName name="_xlnm.Print_Area" localSheetId="7">'resumo cotações'!$A$1:$F$31</definedName>
    <definedName name="_xlnm.Print_Titles" localSheetId="1">ANALÍTICO!$1:$13</definedName>
    <definedName name="_xlnm.Print_Titles" localSheetId="5">'COPA TERREO CASARAO- copa sobre'!$1:$10</definedName>
    <definedName name="_xlnm.Print_Titles" localSheetId="3">CRONOGRAMA!$1:$11</definedName>
    <definedName name="_xlnm.Print_Titles" localSheetId="6">'ELE -GABINETE SALA DE PERICIAS'!$1:$10</definedName>
    <definedName name="_xlnm.Print_Titles" localSheetId="4">'ELE-VESTIARIOS COPA MOTORISTAS'!$1:$9</definedName>
    <definedName name="Z_085E57EC_FCE4_472B_96BD_85A48C0D7EC5_.wvu.PrintArea" localSheetId="1" hidden="1">ANALÍTICO!$A$1:$O$494</definedName>
    <definedName name="Z_085E57EC_FCE4_472B_96BD_85A48C0D7EC5_.wvu.PrintArea" localSheetId="3" hidden="1">CRONOGRAMA!$A$1:$K$106</definedName>
    <definedName name="Z_085E57EC_FCE4_472B_96BD_85A48C0D7EC5_.wvu.PrintArea" localSheetId="0" hidden="1">RESUMO!$A$1:$D$50</definedName>
    <definedName name="Z_085E57EC_FCE4_472B_96BD_85A48C0D7EC5_.wvu.PrintTitles" localSheetId="1" hidden="1">ANALÍTICO!$1:$13</definedName>
    <definedName name="Z_085E57EC_FCE4_472B_96BD_85A48C0D7EC5_.wvu.PrintTitles" localSheetId="3" hidden="1">CRONOGRAMA!$1:$11</definedName>
    <definedName name="Z_64A379BA_3141_462E_A550_7507503698AB_.wvu.FilterData" localSheetId="1" hidden="1">ANALÍTICO!$D$16:$D$61</definedName>
    <definedName name="Z_64A379BA_3141_462E_A550_7507503698AB_.wvu.PrintArea" localSheetId="1" hidden="1">ANALÍTICO!$A$1:$O$494</definedName>
    <definedName name="Z_64A379BA_3141_462E_A550_7507503698AB_.wvu.PrintArea" localSheetId="3" hidden="1">CRONOGRAMA!$A$1:$K$106</definedName>
    <definedName name="Z_64A379BA_3141_462E_A550_7507503698AB_.wvu.PrintArea" localSheetId="0" hidden="1">RESUMO!$A$1:$D$50</definedName>
    <definedName name="Z_64A379BA_3141_462E_A550_7507503698AB_.wvu.PrintTitles" localSheetId="1" hidden="1">ANALÍTICO!$1:$13</definedName>
    <definedName name="Z_64A379BA_3141_462E_A550_7507503698AB_.wvu.PrintTitles" localSheetId="3" hidden="1">CRONOGRAMA!$1:$11</definedName>
    <definedName name="Z_825D4FC7_FF38_412C_872D_5E84522A6144_.wvu.FilterData" localSheetId="1" hidden="1">ANALÍTICO!$D$16:$D$61</definedName>
    <definedName name="Z_86F7B259_3903_422A_9828_3ECDDA1EE621_.wvu.FilterData" localSheetId="1" hidden="1">ANALÍTICO!$D$16:$D$61</definedName>
    <definedName name="Z_A9E6D264_7B9C_4375_A0CF_466470785BB4_.wvu.Cols" localSheetId="2" hidden="1">'MEMÓRIA DE CÁLCULO'!$F:$N</definedName>
    <definedName name="Z_A9E6D264_7B9C_4375_A0CF_466470785BB4_.wvu.FilterData" localSheetId="1" hidden="1">ANALÍTICO!$D$16:$D$61</definedName>
    <definedName name="Z_A9E6D264_7B9C_4375_A0CF_466470785BB4_.wvu.PrintArea" localSheetId="1" hidden="1">ANALÍTICO!$A$1:$O$494</definedName>
    <definedName name="Z_A9E6D264_7B9C_4375_A0CF_466470785BB4_.wvu.PrintArea" localSheetId="3" hidden="1">CRONOGRAMA!$A$1:$K$106</definedName>
    <definedName name="Z_A9E6D264_7B9C_4375_A0CF_466470785BB4_.wvu.PrintArea" localSheetId="0" hidden="1">RESUMO!$A$1:$D$50</definedName>
    <definedName name="Z_A9E6D264_7B9C_4375_A0CF_466470785BB4_.wvu.PrintTitles" localSheetId="1" hidden="1">ANALÍTICO!$1:$13</definedName>
    <definedName name="Z_A9E6D264_7B9C_4375_A0CF_466470785BB4_.wvu.PrintTitles" localSheetId="3" hidden="1">CRONOGRAMA!$1:$11</definedName>
    <definedName name="Z_DD765DCE_E655_456A_9D24_4450FE20736A_.wvu.Cols" localSheetId="2" hidden="1">'MEMÓRIA DE CÁLCULO'!$F:$N</definedName>
    <definedName name="Z_DD765DCE_E655_456A_9D24_4450FE20736A_.wvu.FilterData" localSheetId="1" hidden="1">ANALÍTICO!$D$16:$D$61</definedName>
    <definedName name="Z_DD765DCE_E655_456A_9D24_4450FE20736A_.wvu.PrintArea" localSheetId="1" hidden="1">ANALÍTICO!$A$1:$O$494</definedName>
    <definedName name="Z_DD765DCE_E655_456A_9D24_4450FE20736A_.wvu.PrintArea" localSheetId="3" hidden="1">CRONOGRAMA!$A$1:$K$106</definedName>
    <definedName name="Z_DD765DCE_E655_456A_9D24_4450FE20736A_.wvu.PrintArea" localSheetId="0" hidden="1">RESUMO!$A$1:$D$50</definedName>
    <definedName name="Z_DD765DCE_E655_456A_9D24_4450FE20736A_.wvu.PrintTitles" localSheetId="1" hidden="1">ANALÍTICO!$1:$13</definedName>
    <definedName name="Z_DD765DCE_E655_456A_9D24_4450FE20736A_.wvu.PrintTitles" localSheetId="3" hidden="1">CRONOGRAMA!$1:$11</definedName>
  </definedNames>
  <calcPr calcId="145621"/>
  <customWorkbookViews>
    <customWorkbookView name="Antonio Cesar Teofilo Gondim - Modo de exibição pessoal" guid="{64A379BA-3141-462E-A550-7507503698AB}" mergeInterval="0" personalView="1" maximized="1" windowWidth="1276" windowHeight="799" activeSheetId="2"/>
    <customWorkbookView name="antoniogondim - Modo de exibição pessoal" guid="{085E57EC-FCE4-472B-96BD-85A48C0D7EC5}" mergeInterval="0" personalView="1" maximized="1" windowWidth="1276" windowHeight="876" activeSheetId="2"/>
    <customWorkbookView name="Anadélia Trentini Campara - Modo de exibição pessoal" guid="{DD765DCE-E655-456A-9D24-4450FE20736A}" mergeInterval="0" personalView="1" maximized="1" windowWidth="1276" windowHeight="799" activeSheetId="3"/>
    <customWorkbookView name="Gilberto Ditzel - Modo de exibição pessoal" guid="{A9E6D264-7B9C-4375-A0CF-466470785BB4}" mergeInterval="0" personalView="1" maximized="1" windowWidth="1276" windowHeight="809" activeSheetId="2"/>
  </customWorkbookViews>
</workbook>
</file>

<file path=xl/calcChain.xml><?xml version="1.0" encoding="utf-8"?>
<calcChain xmlns="http://schemas.openxmlformats.org/spreadsheetml/2006/main">
  <c r="J98" i="3" l="1"/>
  <c r="B98" i="3"/>
  <c r="B99" i="3" s="1"/>
  <c r="A98" i="3"/>
  <c r="K99" i="3"/>
  <c r="J99" i="3"/>
  <c r="H99" i="3" s="1"/>
  <c r="C48" i="1" l="1"/>
  <c r="C47" i="1"/>
  <c r="D95" i="10" l="1"/>
  <c r="J98" i="10"/>
  <c r="K98" i="10" s="1"/>
  <c r="J97" i="10"/>
  <c r="K97" i="10" s="1"/>
  <c r="I96" i="10"/>
  <c r="I95" i="10" s="1"/>
  <c r="L95" i="10" s="1"/>
  <c r="I91" i="10"/>
  <c r="K91" i="10" s="1"/>
  <c r="J92" i="10"/>
  <c r="K92" i="10" s="1"/>
  <c r="J93" i="10"/>
  <c r="K93" i="10" s="1"/>
  <c r="J95" i="10" l="1"/>
  <c r="M95" i="10" s="1"/>
  <c r="K96" i="10"/>
  <c r="K95" i="10" s="1"/>
  <c r="N95" i="10"/>
  <c r="K90" i="10"/>
  <c r="I90" i="10"/>
  <c r="J90" i="10"/>
  <c r="M90" i="10"/>
  <c r="L90" i="10"/>
  <c r="J198" i="10"/>
  <c r="K198" i="10" s="1"/>
  <c r="J197" i="10"/>
  <c r="I196" i="10"/>
  <c r="K196" i="10" s="1"/>
  <c r="I195" i="10"/>
  <c r="D195" i="10"/>
  <c r="J193" i="10"/>
  <c r="K193" i="10" s="1"/>
  <c r="J192" i="10"/>
  <c r="K191" i="10"/>
  <c r="I191" i="10"/>
  <c r="I190" i="10" s="1"/>
  <c r="L190" i="10" s="1"/>
  <c r="J188" i="10"/>
  <c r="K187" i="10"/>
  <c r="J187" i="10"/>
  <c r="I186" i="10"/>
  <c r="K186" i="10" s="1"/>
  <c r="I185" i="10"/>
  <c r="K185" i="10" s="1"/>
  <c r="I184" i="10"/>
  <c r="K184" i="10" s="1"/>
  <c r="I183" i="10"/>
  <c r="K183" i="10" s="1"/>
  <c r="I182" i="10"/>
  <c r="K182" i="10" s="1"/>
  <c r="I181" i="10"/>
  <c r="K181" i="10" s="1"/>
  <c r="I180" i="10"/>
  <c r="K180" i="10" s="1"/>
  <c r="I179" i="10"/>
  <c r="K179" i="10" s="1"/>
  <c r="I178" i="10"/>
  <c r="K178" i="10" s="1"/>
  <c r="J175" i="10"/>
  <c r="K175" i="10" s="1"/>
  <c r="J174" i="10"/>
  <c r="I173" i="10"/>
  <c r="K173" i="10" s="1"/>
  <c r="I172" i="10"/>
  <c r="K172" i="10" s="1"/>
  <c r="I171" i="10"/>
  <c r="K171" i="10" s="1"/>
  <c r="I170" i="10"/>
  <c r="K170" i="10" s="1"/>
  <c r="I169" i="10"/>
  <c r="K169" i="10" s="1"/>
  <c r="I168" i="10"/>
  <c r="K168" i="10" s="1"/>
  <c r="I167" i="10"/>
  <c r="K167" i="10" s="1"/>
  <c r="I166" i="10"/>
  <c r="I165" i="10"/>
  <c r="K165" i="10" s="1"/>
  <c r="J162" i="10"/>
  <c r="K162" i="10" s="1"/>
  <c r="J161" i="10"/>
  <c r="K161" i="10" s="1"/>
  <c r="I160" i="10"/>
  <c r="K160" i="10" s="1"/>
  <c r="J157" i="10"/>
  <c r="K157" i="10" s="1"/>
  <c r="J156" i="10"/>
  <c r="I155" i="10"/>
  <c r="K155" i="10" s="1"/>
  <c r="I154" i="10"/>
  <c r="K154" i="10" s="1"/>
  <c r="I153" i="10"/>
  <c r="K153" i="10" s="1"/>
  <c r="I152" i="10"/>
  <c r="K152" i="10" s="1"/>
  <c r="I151" i="10"/>
  <c r="K151" i="10" s="1"/>
  <c r="I150" i="10"/>
  <c r="K150" i="10" s="1"/>
  <c r="J147" i="10"/>
  <c r="K147" i="10" s="1"/>
  <c r="J146" i="10"/>
  <c r="I145" i="10"/>
  <c r="K145" i="10" s="1"/>
  <c r="J142" i="10"/>
  <c r="K142" i="10" s="1"/>
  <c r="J141" i="10"/>
  <c r="K141" i="10" s="1"/>
  <c r="G140" i="10"/>
  <c r="I140" i="10" s="1"/>
  <c r="J137" i="10"/>
  <c r="K137" i="10" s="1"/>
  <c r="J136" i="10"/>
  <c r="J134" i="10" s="1"/>
  <c r="M134" i="10" s="1"/>
  <c r="G135" i="10"/>
  <c r="I135" i="10" s="1"/>
  <c r="K135" i="10" s="1"/>
  <c r="J132" i="10"/>
  <c r="K132" i="10" s="1"/>
  <c r="J131" i="10"/>
  <c r="G130" i="10"/>
  <c r="I130" i="10" s="1"/>
  <c r="K130" i="10" s="1"/>
  <c r="J127" i="10"/>
  <c r="J126" i="10"/>
  <c r="K126" i="10" s="1"/>
  <c r="I125" i="10"/>
  <c r="K125" i="10" s="1"/>
  <c r="J122" i="10"/>
  <c r="K122" i="10" s="1"/>
  <c r="J121" i="10"/>
  <c r="I120" i="10"/>
  <c r="I119" i="10"/>
  <c r="K119" i="10" s="1"/>
  <c r="D118" i="10"/>
  <c r="J116" i="10"/>
  <c r="K116" i="10" s="1"/>
  <c r="J115" i="10"/>
  <c r="K115" i="10" s="1"/>
  <c r="I114" i="10"/>
  <c r="K114" i="10" s="1"/>
  <c r="I113" i="10"/>
  <c r="K113" i="10" s="1"/>
  <c r="J110" i="10"/>
  <c r="K110" i="10" s="1"/>
  <c r="J109" i="10"/>
  <c r="I108" i="10"/>
  <c r="K108" i="10" s="1"/>
  <c r="I107" i="10"/>
  <c r="K107" i="10" s="1"/>
  <c r="J104" i="10"/>
  <c r="K104" i="10" s="1"/>
  <c r="J103" i="10"/>
  <c r="I102" i="10"/>
  <c r="K102" i="10" s="1"/>
  <c r="I101" i="10"/>
  <c r="K101" i="10" s="1"/>
  <c r="J88" i="10"/>
  <c r="K88" i="10" s="1"/>
  <c r="J87" i="10"/>
  <c r="I86" i="10"/>
  <c r="K86" i="10" s="1"/>
  <c r="I85" i="10"/>
  <c r="K85" i="10" s="1"/>
  <c r="I84" i="10"/>
  <c r="K84" i="10" s="1"/>
  <c r="I83" i="10"/>
  <c r="K83" i="10" s="1"/>
  <c r="I82" i="10"/>
  <c r="K82" i="10" s="1"/>
  <c r="I81" i="10"/>
  <c r="K81" i="10" s="1"/>
  <c r="I80" i="10"/>
  <c r="K80" i="10" s="1"/>
  <c r="I79" i="10"/>
  <c r="K79" i="10" s="1"/>
  <c r="I78" i="10"/>
  <c r="K78" i="10" s="1"/>
  <c r="I77" i="10"/>
  <c r="K77" i="10" s="1"/>
  <c r="J74" i="10"/>
  <c r="K74" i="10" s="1"/>
  <c r="J73" i="10"/>
  <c r="I72" i="10"/>
  <c r="K72" i="10" s="1"/>
  <c r="I71" i="10"/>
  <c r="K71" i="10" s="1"/>
  <c r="I70" i="10"/>
  <c r="K70" i="10" s="1"/>
  <c r="I69" i="10"/>
  <c r="K69" i="10" s="1"/>
  <c r="I68" i="10"/>
  <c r="K68" i="10" s="1"/>
  <c r="I67" i="10"/>
  <c r="K67" i="10" s="1"/>
  <c r="I66" i="10"/>
  <c r="K66" i="10" s="1"/>
  <c r="I65" i="10"/>
  <c r="K65" i="10" s="1"/>
  <c r="I64" i="10"/>
  <c r="K64" i="10" s="1"/>
  <c r="I63" i="10"/>
  <c r="K63" i="10" s="1"/>
  <c r="J60" i="10"/>
  <c r="J59" i="10"/>
  <c r="I58" i="10"/>
  <c r="I57" i="10" s="1"/>
  <c r="L57" i="10" s="1"/>
  <c r="J55" i="10"/>
  <c r="J54" i="10"/>
  <c r="I53" i="10"/>
  <c r="I52" i="10" s="1"/>
  <c r="L52" i="10" s="1"/>
  <c r="J50" i="10"/>
  <c r="K50" i="10" s="1"/>
  <c r="J49" i="10"/>
  <c r="I48" i="10"/>
  <c r="K48" i="10" s="1"/>
  <c r="J45" i="10"/>
  <c r="K45" i="10" s="1"/>
  <c r="J44" i="10"/>
  <c r="K44" i="10" s="1"/>
  <c r="I43" i="10"/>
  <c r="I42" i="10" s="1"/>
  <c r="J40" i="10"/>
  <c r="K40" i="10" s="1"/>
  <c r="J39" i="10"/>
  <c r="K39" i="10" s="1"/>
  <c r="I38" i="10"/>
  <c r="K38" i="10" s="1"/>
  <c r="I37" i="10"/>
  <c r="L37" i="10" s="1"/>
  <c r="D37" i="10"/>
  <c r="J35" i="10"/>
  <c r="K35" i="10" s="1"/>
  <c r="J34" i="10"/>
  <c r="K34" i="10" s="1"/>
  <c r="I33" i="10"/>
  <c r="I32" i="10" s="1"/>
  <c r="L32" i="10" s="1"/>
  <c r="J30" i="10"/>
  <c r="K30" i="10" s="1"/>
  <c r="J29" i="10"/>
  <c r="K29" i="10" s="1"/>
  <c r="I28" i="10"/>
  <c r="K28" i="10" s="1"/>
  <c r="I27" i="10"/>
  <c r="L27" i="10" s="1"/>
  <c r="D27" i="10"/>
  <c r="J25" i="10"/>
  <c r="K25" i="10" s="1"/>
  <c r="J24" i="10"/>
  <c r="J22" i="10" s="1"/>
  <c r="I23" i="10"/>
  <c r="I22" i="10" s="1"/>
  <c r="L22" i="10" s="1"/>
  <c r="J20" i="10"/>
  <c r="K20" i="10" s="1"/>
  <c r="J19" i="10"/>
  <c r="K19" i="10" s="1"/>
  <c r="I18" i="10"/>
  <c r="K18" i="10" s="1"/>
  <c r="I17" i="10"/>
  <c r="L17" i="10" s="1"/>
  <c r="J195" i="10" l="1"/>
  <c r="M195" i="10" s="1"/>
  <c r="J118" i="10"/>
  <c r="M118" i="10" s="1"/>
  <c r="O95" i="10"/>
  <c r="P95" i="10" s="1"/>
  <c r="K23" i="10"/>
  <c r="K121" i="10"/>
  <c r="K136" i="10"/>
  <c r="I118" i="10"/>
  <c r="J124" i="10"/>
  <c r="M124" i="10" s="1"/>
  <c r="N124" i="10" s="1"/>
  <c r="K120" i="10"/>
  <c r="I144" i="10"/>
  <c r="L144" i="10" s="1"/>
  <c r="I159" i="10"/>
  <c r="L159" i="10" s="1"/>
  <c r="J32" i="10"/>
  <c r="M32" i="10" s="1"/>
  <c r="J27" i="10"/>
  <c r="K33" i="10"/>
  <c r="J42" i="10"/>
  <c r="M42" i="10" s="1"/>
  <c r="J52" i="10"/>
  <c r="M52" i="10" s="1"/>
  <c r="N52" i="10" s="1"/>
  <c r="J57" i="10"/>
  <c r="M57" i="10" s="1"/>
  <c r="N57" i="10" s="1"/>
  <c r="O57" i="10" s="1"/>
  <c r="P57" i="10" s="1"/>
  <c r="I124" i="10"/>
  <c r="L124" i="10" s="1"/>
  <c r="K127" i="10"/>
  <c r="J139" i="10"/>
  <c r="M139" i="10" s="1"/>
  <c r="I177" i="10"/>
  <c r="K195" i="10"/>
  <c r="K197" i="10"/>
  <c r="J17" i="10"/>
  <c r="M17" i="10" s="1"/>
  <c r="N17" i="10" s="1"/>
  <c r="L195" i="10"/>
  <c r="N195" i="10" s="1"/>
  <c r="J37" i="10"/>
  <c r="N90" i="10"/>
  <c r="O90" i="10" s="1"/>
  <c r="P90" i="10" s="1"/>
  <c r="K27" i="10"/>
  <c r="M27" i="10"/>
  <c r="N27" i="10" s="1"/>
  <c r="K22" i="10"/>
  <c r="M22" i="10"/>
  <c r="N22" i="10" s="1"/>
  <c r="N32" i="10"/>
  <c r="L42" i="10"/>
  <c r="K103" i="10"/>
  <c r="J100" i="10"/>
  <c r="M100" i="10" s="1"/>
  <c r="I139" i="10"/>
  <c r="K140" i="10"/>
  <c r="J190" i="10"/>
  <c r="K192" i="10"/>
  <c r="K24" i="10"/>
  <c r="K43" i="10"/>
  <c r="J47" i="10"/>
  <c r="M47" i="10" s="1"/>
  <c r="K49" i="10"/>
  <c r="I134" i="10"/>
  <c r="I149" i="10"/>
  <c r="K156" i="10"/>
  <c r="J149" i="10"/>
  <c r="M149" i="10" s="1"/>
  <c r="L177" i="10"/>
  <c r="K109" i="10"/>
  <c r="J106" i="10"/>
  <c r="M106" i="10" s="1"/>
  <c r="I62" i="10"/>
  <c r="I76" i="10"/>
  <c r="I100" i="10"/>
  <c r="I106" i="10"/>
  <c r="I112" i="10"/>
  <c r="K188" i="10"/>
  <c r="J177" i="10"/>
  <c r="M177" i="10" s="1"/>
  <c r="I47" i="10"/>
  <c r="K73" i="10"/>
  <c r="J62" i="10"/>
  <c r="M62" i="10" s="1"/>
  <c r="K87" i="10"/>
  <c r="J76" i="10"/>
  <c r="M76" i="10" s="1"/>
  <c r="L118" i="10"/>
  <c r="J129" i="10"/>
  <c r="M129" i="10" s="1"/>
  <c r="K131" i="10"/>
  <c r="J144" i="10"/>
  <c r="K146" i="10"/>
  <c r="I164" i="10"/>
  <c r="K166" i="10"/>
  <c r="J164" i="10"/>
  <c r="M164" i="10" s="1"/>
  <c r="K174" i="10"/>
  <c r="I129" i="10"/>
  <c r="J159" i="10"/>
  <c r="M159" i="10" s="1"/>
  <c r="J112" i="10"/>
  <c r="M112" i="10" s="1"/>
  <c r="B45" i="1"/>
  <c r="A45" i="1"/>
  <c r="F1895" i="2"/>
  <c r="F1890" i="2"/>
  <c r="F1885" i="2"/>
  <c r="F1880" i="2"/>
  <c r="F1875" i="2"/>
  <c r="F1859" i="2"/>
  <c r="F1849" i="2"/>
  <c r="D324" i="4"/>
  <c r="C324" i="4"/>
  <c r="D323" i="4"/>
  <c r="C323" i="4"/>
  <c r="D322" i="4"/>
  <c r="C322" i="4"/>
  <c r="B322" i="4"/>
  <c r="D316" i="4"/>
  <c r="C316" i="4"/>
  <c r="B316" i="4"/>
  <c r="H1792" i="2"/>
  <c r="H1784" i="2"/>
  <c r="D1911" i="2"/>
  <c r="H1911" i="2"/>
  <c r="H1908" i="2" s="1"/>
  <c r="I1910" i="2"/>
  <c r="I1909" i="2"/>
  <c r="D1905" i="2"/>
  <c r="H1904" i="2"/>
  <c r="H1903" i="2"/>
  <c r="I1901" i="2"/>
  <c r="H1905" i="2"/>
  <c r="I1902" i="2"/>
  <c r="K17" i="10" l="1"/>
  <c r="K118" i="10"/>
  <c r="N118" i="10"/>
  <c r="K124" i="10"/>
  <c r="K57" i="10"/>
  <c r="K52" i="10"/>
  <c r="K32" i="10"/>
  <c r="K42" i="10"/>
  <c r="N42" i="10"/>
  <c r="O42" i="10" s="1"/>
  <c r="P42" i="10" s="1"/>
  <c r="O52" i="10"/>
  <c r="P52" i="10" s="1"/>
  <c r="M37" i="10"/>
  <c r="N37" i="10" s="1"/>
  <c r="O37" i="10" s="1"/>
  <c r="P37" i="10" s="1"/>
  <c r="K37" i="10"/>
  <c r="O27" i="10"/>
  <c r="P27" i="10" s="1"/>
  <c r="L164" i="10"/>
  <c r="N164" i="10" s="1"/>
  <c r="K164" i="10"/>
  <c r="M144" i="10"/>
  <c r="N144" i="10" s="1"/>
  <c r="K144" i="10"/>
  <c r="L112" i="10"/>
  <c r="N112" i="10" s="1"/>
  <c r="K112" i="10"/>
  <c r="L62" i="10"/>
  <c r="K62" i="10"/>
  <c r="L139" i="10"/>
  <c r="N139" i="10" s="1"/>
  <c r="K139" i="10"/>
  <c r="O22" i="10"/>
  <c r="P22" i="10" s="1"/>
  <c r="K159" i="10"/>
  <c r="O118" i="10"/>
  <c r="P118" i="10" s="1"/>
  <c r="L106" i="10"/>
  <c r="N106" i="10" s="1"/>
  <c r="K106" i="10"/>
  <c r="O195" i="10"/>
  <c r="P195" i="10" s="1"/>
  <c r="N159" i="10"/>
  <c r="L100" i="10"/>
  <c r="N100" i="10" s="1"/>
  <c r="K100" i="10"/>
  <c r="K177" i="10"/>
  <c r="L149" i="10"/>
  <c r="N149" i="10" s="1"/>
  <c r="K149" i="10"/>
  <c r="M190" i="10"/>
  <c r="N190" i="10" s="1"/>
  <c r="K190" i="10"/>
  <c r="O32" i="10"/>
  <c r="P32" i="10" s="1"/>
  <c r="K129" i="10"/>
  <c r="L129" i="10"/>
  <c r="N129" i="10" s="1"/>
  <c r="L47" i="10"/>
  <c r="N47" i="10" s="1"/>
  <c r="K47" i="10"/>
  <c r="O124" i="10"/>
  <c r="P124" i="10" s="1"/>
  <c r="L76" i="10"/>
  <c r="N76" i="10" s="1"/>
  <c r="K76" i="10"/>
  <c r="N177" i="10"/>
  <c r="L134" i="10"/>
  <c r="N134" i="10" s="1"/>
  <c r="K134" i="10"/>
  <c r="O17" i="10"/>
  <c r="P17" i="10" s="1"/>
  <c r="F323" i="4"/>
  <c r="I1900" i="2"/>
  <c r="I1908" i="2"/>
  <c r="L1908" i="2" s="1"/>
  <c r="K1908" i="2"/>
  <c r="M1908" i="2" s="1"/>
  <c r="H1900" i="2"/>
  <c r="J1900" i="2" s="1"/>
  <c r="H1893" i="2"/>
  <c r="H1890" i="2" s="1"/>
  <c r="I1892" i="2"/>
  <c r="I1891" i="2"/>
  <c r="D319" i="4"/>
  <c r="B324" i="4"/>
  <c r="C315" i="4"/>
  <c r="F315" i="4" s="1"/>
  <c r="C319" i="4"/>
  <c r="C320" i="4" s="1"/>
  <c r="B320" i="4"/>
  <c r="B319" i="4"/>
  <c r="D317" i="4"/>
  <c r="C317" i="4"/>
  <c r="F316" i="4"/>
  <c r="F1867" i="2" s="1"/>
  <c r="D315" i="4"/>
  <c r="H1865" i="2"/>
  <c r="I1862" i="2"/>
  <c r="I1861" i="2"/>
  <c r="I1860" i="2"/>
  <c r="I1896" i="2"/>
  <c r="I1895" i="2" s="1"/>
  <c r="H1897" i="2"/>
  <c r="H1895" i="2" s="1"/>
  <c r="I1883" i="2"/>
  <c r="I1882" i="2"/>
  <c r="H1881" i="2"/>
  <c r="H1880" i="2" s="1"/>
  <c r="I1878" i="2"/>
  <c r="I1877" i="2"/>
  <c r="H1876" i="2"/>
  <c r="H1875" i="2" s="1"/>
  <c r="H1888" i="2"/>
  <c r="I1886" i="2"/>
  <c r="I1887" i="2"/>
  <c r="H1872" i="2"/>
  <c r="H1871" i="2"/>
  <c r="H1870" i="2"/>
  <c r="I1869" i="2"/>
  <c r="I1868" i="2"/>
  <c r="H1864" i="2"/>
  <c r="I1863" i="2"/>
  <c r="H1857" i="2"/>
  <c r="H1856" i="2"/>
  <c r="H1855" i="2"/>
  <c r="H1854" i="2"/>
  <c r="H1853" i="2"/>
  <c r="H1852" i="2"/>
  <c r="I1851" i="2"/>
  <c r="I1850" i="2"/>
  <c r="H1846" i="2"/>
  <c r="H1845" i="2"/>
  <c r="I1844" i="2"/>
  <c r="H1844" i="2"/>
  <c r="I1843" i="2"/>
  <c r="H1843" i="2"/>
  <c r="H1839" i="2"/>
  <c r="H1840" i="2"/>
  <c r="I1838" i="2"/>
  <c r="H1838" i="2"/>
  <c r="I1837" i="2"/>
  <c r="H1837" i="2"/>
  <c r="H1834" i="2"/>
  <c r="I1833" i="2"/>
  <c r="H1833" i="2"/>
  <c r="I1832" i="2"/>
  <c r="H1832" i="2"/>
  <c r="H1829" i="2"/>
  <c r="I1828" i="2"/>
  <c r="H1828" i="2"/>
  <c r="I1827" i="2"/>
  <c r="H1827" i="2"/>
  <c r="H1823" i="2"/>
  <c r="H1824" i="2"/>
  <c r="I1822" i="2"/>
  <c r="H1822" i="2"/>
  <c r="I1821" i="2"/>
  <c r="H1821" i="2"/>
  <c r="H1818" i="2"/>
  <c r="I1817" i="2"/>
  <c r="H1817" i="2"/>
  <c r="I1816" i="2"/>
  <c r="H1816" i="2"/>
  <c r="M200" i="10" l="1"/>
  <c r="O76" i="10"/>
  <c r="P76" i="10" s="1"/>
  <c r="O47" i="10"/>
  <c r="P47" i="10" s="1"/>
  <c r="O149" i="10"/>
  <c r="P149" i="10" s="1"/>
  <c r="O159" i="10"/>
  <c r="P159" i="10" s="1"/>
  <c r="O139" i="10"/>
  <c r="P139" i="10" s="1"/>
  <c r="O112" i="10"/>
  <c r="P112" i="10" s="1"/>
  <c r="O164" i="10"/>
  <c r="P164" i="10" s="1"/>
  <c r="O134" i="10"/>
  <c r="P134" i="10" s="1"/>
  <c r="O129" i="10"/>
  <c r="P129" i="10" s="1"/>
  <c r="O100" i="10"/>
  <c r="P100" i="10" s="1"/>
  <c r="O177" i="10"/>
  <c r="P177" i="10" s="1"/>
  <c r="O190" i="10"/>
  <c r="P190" i="10" s="1"/>
  <c r="O106" i="10"/>
  <c r="P106" i="10" s="1"/>
  <c r="L200" i="10"/>
  <c r="N62" i="10"/>
  <c r="O144" i="10"/>
  <c r="P144" i="10" s="1"/>
  <c r="J1908" i="2"/>
  <c r="I1867" i="2"/>
  <c r="N1908" i="2"/>
  <c r="O1908" i="2" s="1"/>
  <c r="H1859" i="2"/>
  <c r="J1859" i="2" s="1"/>
  <c r="I1885" i="2"/>
  <c r="I1859" i="2"/>
  <c r="L1859" i="2" s="1"/>
  <c r="L1900" i="2"/>
  <c r="K1900" i="2"/>
  <c r="I1890" i="2"/>
  <c r="I1880" i="2"/>
  <c r="J1880" i="2" s="1"/>
  <c r="F324" i="4"/>
  <c r="B317" i="4"/>
  <c r="F317" i="4" s="1"/>
  <c r="D320" i="4"/>
  <c r="F320" i="4" s="1"/>
  <c r="F319" i="4"/>
  <c r="J1895" i="2"/>
  <c r="I1831" i="2"/>
  <c r="L1831" i="2" s="1"/>
  <c r="I1849" i="2"/>
  <c r="L1849" i="2" s="1"/>
  <c r="H1867" i="2"/>
  <c r="J1867" i="2" s="1"/>
  <c r="I1875" i="2"/>
  <c r="L1875" i="2" s="1"/>
  <c r="H1885" i="2"/>
  <c r="H1849" i="2"/>
  <c r="K1880" i="2"/>
  <c r="K1875" i="2"/>
  <c r="H1842" i="2"/>
  <c r="K1842" i="2" s="1"/>
  <c r="I1842" i="2"/>
  <c r="L1842" i="2" s="1"/>
  <c r="I1836" i="2"/>
  <c r="L1836" i="2" s="1"/>
  <c r="H1836" i="2"/>
  <c r="K1836" i="2" s="1"/>
  <c r="H1831" i="2"/>
  <c r="K1831" i="2" s="1"/>
  <c r="H1826" i="2"/>
  <c r="I1826" i="2"/>
  <c r="L1826" i="2" s="1"/>
  <c r="I1820" i="2"/>
  <c r="L1820" i="2" s="1"/>
  <c r="H1820" i="2"/>
  <c r="K1820" i="2" s="1"/>
  <c r="H1815" i="2"/>
  <c r="K1815" i="2" s="1"/>
  <c r="I1815" i="2"/>
  <c r="L1815" i="2" s="1"/>
  <c r="H1813" i="2"/>
  <c r="H1812" i="2"/>
  <c r="I1811" i="2"/>
  <c r="H1811" i="2"/>
  <c r="I1810" i="2"/>
  <c r="H1810" i="2"/>
  <c r="H1780" i="2"/>
  <c r="H1788" i="2"/>
  <c r="H1796" i="2"/>
  <c r="H1803" i="2"/>
  <c r="H1806" i="2"/>
  <c r="H1805" i="2"/>
  <c r="I1804" i="2"/>
  <c r="H1804" i="2"/>
  <c r="I1803" i="2"/>
  <c r="N200" i="10" l="1"/>
  <c r="O62" i="10"/>
  <c r="O200" i="10" s="1"/>
  <c r="K1890" i="2"/>
  <c r="M1900" i="2"/>
  <c r="L1880" i="2"/>
  <c r="M1880" i="2" s="1"/>
  <c r="J1890" i="2"/>
  <c r="M1831" i="2"/>
  <c r="N1831" i="2" s="1"/>
  <c r="O1831" i="2" s="1"/>
  <c r="F322" i="4"/>
  <c r="J1849" i="2"/>
  <c r="J1885" i="2"/>
  <c r="K1859" i="2"/>
  <c r="M1859" i="2" s="1"/>
  <c r="N1859" i="2" s="1"/>
  <c r="O1859" i="2" s="1"/>
  <c r="K1849" i="2"/>
  <c r="M1849" i="2" s="1"/>
  <c r="M1875" i="2"/>
  <c r="N1875" i="2" s="1"/>
  <c r="O1875" i="2" s="1"/>
  <c r="J1875" i="2"/>
  <c r="J1826" i="2"/>
  <c r="M1842" i="2"/>
  <c r="N1842" i="2" s="1"/>
  <c r="O1842" i="2" s="1"/>
  <c r="J1842" i="2"/>
  <c r="J1836" i="2"/>
  <c r="M1836" i="2"/>
  <c r="N1836" i="2" s="1"/>
  <c r="O1836" i="2" s="1"/>
  <c r="J1831" i="2"/>
  <c r="K1826" i="2"/>
  <c r="M1826" i="2" s="1"/>
  <c r="N1826" i="2" s="1"/>
  <c r="O1826" i="2" s="1"/>
  <c r="I1809" i="2"/>
  <c r="L1809" i="2" s="1"/>
  <c r="M1820" i="2"/>
  <c r="N1820" i="2" s="1"/>
  <c r="O1820" i="2" s="1"/>
  <c r="J1820" i="2"/>
  <c r="J1815" i="2"/>
  <c r="M1815" i="2"/>
  <c r="N1815" i="2" s="1"/>
  <c r="O1815" i="2" s="1"/>
  <c r="H1809" i="2"/>
  <c r="H1802" i="2"/>
  <c r="K1802" i="2" s="1"/>
  <c r="I1802" i="2"/>
  <c r="L1802" i="2" s="1"/>
  <c r="H1800" i="2"/>
  <c r="H1799" i="2"/>
  <c r="H1798" i="2"/>
  <c r="I1797" i="2"/>
  <c r="H1797" i="2"/>
  <c r="I1796" i="2"/>
  <c r="H1785" i="2"/>
  <c r="H1783" i="2"/>
  <c r="H1782" i="2"/>
  <c r="I1781" i="2"/>
  <c r="H1781" i="2"/>
  <c r="I1780" i="2"/>
  <c r="H1790" i="2"/>
  <c r="H1791" i="2"/>
  <c r="H1793" i="2"/>
  <c r="H1789" i="2"/>
  <c r="I1789" i="2"/>
  <c r="I1788" i="2"/>
  <c r="F44" i="2"/>
  <c r="P62" i="10" l="1"/>
  <c r="P200" i="10" s="1"/>
  <c r="C46" i="1" s="1"/>
  <c r="K1885" i="2"/>
  <c r="L1885" i="2"/>
  <c r="L1890" i="2"/>
  <c r="M1890" i="2" s="1"/>
  <c r="N1890" i="2" s="1"/>
  <c r="O1890" i="2" s="1"/>
  <c r="K1895" i="2"/>
  <c r="L1895" i="2"/>
  <c r="N1900" i="2"/>
  <c r="O1900" i="2" s="1"/>
  <c r="I1787" i="2"/>
  <c r="L1787" i="2" s="1"/>
  <c r="J1809" i="2"/>
  <c r="N1880" i="2"/>
  <c r="O1880" i="2" s="1"/>
  <c r="N1849" i="2"/>
  <c r="O1849" i="2" s="1"/>
  <c r="L1867" i="2"/>
  <c r="K1867" i="2"/>
  <c r="H1787" i="2"/>
  <c r="K1809" i="2"/>
  <c r="M1809" i="2" s="1"/>
  <c r="N1809" i="2" s="1"/>
  <c r="O1809" i="2" s="1"/>
  <c r="J1802" i="2"/>
  <c r="M1802" i="2"/>
  <c r="N1802" i="2" s="1"/>
  <c r="O1802" i="2" s="1"/>
  <c r="H1795" i="2"/>
  <c r="K1795" i="2" s="1"/>
  <c r="I1795" i="2"/>
  <c r="L1795" i="2" s="1"/>
  <c r="H1779" i="2"/>
  <c r="K1779" i="2" s="1"/>
  <c r="I1779" i="2"/>
  <c r="L1779" i="2" s="1"/>
  <c r="F783" i="2"/>
  <c r="F388" i="2"/>
  <c r="H679" i="2"/>
  <c r="M1885" i="2" l="1"/>
  <c r="N1885" i="2" s="1"/>
  <c r="O1885" i="2" s="1"/>
  <c r="M1895" i="2"/>
  <c r="N1895" i="2" s="1"/>
  <c r="O1895" i="2" s="1"/>
  <c r="J1787" i="2"/>
  <c r="M1867" i="2"/>
  <c r="M1779" i="2"/>
  <c r="N1779" i="2" s="1"/>
  <c r="O1779" i="2" s="1"/>
  <c r="M1795" i="2"/>
  <c r="N1795" i="2" s="1"/>
  <c r="O1795" i="2" s="1"/>
  <c r="J1795" i="2"/>
  <c r="J1779" i="2"/>
  <c r="K1787" i="2"/>
  <c r="M1787" i="2" s="1"/>
  <c r="N1787" i="2" s="1"/>
  <c r="O1787" i="2" s="1"/>
  <c r="B104" i="3"/>
  <c r="B105" i="3" s="1"/>
  <c r="A104" i="3"/>
  <c r="K105" i="3"/>
  <c r="B102" i="3"/>
  <c r="B103" i="3" s="1"/>
  <c r="A102" i="3"/>
  <c r="K103" i="3"/>
  <c r="B100" i="3"/>
  <c r="B101" i="3" s="1"/>
  <c r="A100" i="3"/>
  <c r="K101" i="3"/>
  <c r="N1867" i="2" l="1"/>
  <c r="O1867" i="2" s="1"/>
  <c r="O1776" i="2" s="1"/>
  <c r="C45" i="1" s="1"/>
  <c r="M102" i="12"/>
  <c r="N102" i="12"/>
  <c r="L102" i="12"/>
  <c r="M146" i="11"/>
  <c r="N146" i="11"/>
  <c r="L146" i="11"/>
  <c r="J100" i="12"/>
  <c r="I99" i="12"/>
  <c r="I98" i="12" s="1"/>
  <c r="J98" i="12"/>
  <c r="M98" i="12" s="1"/>
  <c r="J96" i="12"/>
  <c r="J95" i="12"/>
  <c r="I94" i="12"/>
  <c r="I93" i="12" s="1"/>
  <c r="L93" i="12" s="1"/>
  <c r="J91" i="12"/>
  <c r="J90" i="12"/>
  <c r="J88" i="12" s="1"/>
  <c r="I89" i="12"/>
  <c r="I88" i="12" s="1"/>
  <c r="L88" i="12" s="1"/>
  <c r="J86" i="12"/>
  <c r="K86" i="12" s="1"/>
  <c r="J85" i="12"/>
  <c r="K85" i="12" s="1"/>
  <c r="I84" i="12"/>
  <c r="I83" i="12"/>
  <c r="K83" i="12" s="1"/>
  <c r="J82" i="12"/>
  <c r="M82" i="12" s="1"/>
  <c r="J80" i="12"/>
  <c r="K80" i="12" s="1"/>
  <c r="J79" i="12"/>
  <c r="K79" i="12" s="1"/>
  <c r="I78" i="12"/>
  <c r="I76" i="12" s="1"/>
  <c r="I77" i="12"/>
  <c r="K77" i="12" s="1"/>
  <c r="J76" i="12"/>
  <c r="M76" i="12" s="1"/>
  <c r="J74" i="12"/>
  <c r="K74" i="12" s="1"/>
  <c r="J73" i="12"/>
  <c r="I72" i="12"/>
  <c r="K72" i="12" s="1"/>
  <c r="J69" i="12"/>
  <c r="K69" i="12" s="1"/>
  <c r="J68" i="12"/>
  <c r="K68" i="12" s="1"/>
  <c r="I67" i="12"/>
  <c r="K67" i="12" s="1"/>
  <c r="I66" i="12"/>
  <c r="L66" i="12" s="1"/>
  <c r="J64" i="12"/>
  <c r="K64" i="12" s="1"/>
  <c r="J63" i="12"/>
  <c r="K63" i="12" s="1"/>
  <c r="G62" i="12"/>
  <c r="I62" i="12" s="1"/>
  <c r="J59" i="12"/>
  <c r="K59" i="12" s="1"/>
  <c r="J58" i="12"/>
  <c r="K58" i="12" s="1"/>
  <c r="G57" i="12"/>
  <c r="I57" i="12" s="1"/>
  <c r="J54" i="12"/>
  <c r="K54" i="12" s="1"/>
  <c r="J53" i="12"/>
  <c r="G52" i="12"/>
  <c r="I52" i="12" s="1"/>
  <c r="J49" i="12"/>
  <c r="K49" i="12" s="1"/>
  <c r="J48" i="12"/>
  <c r="K48" i="12" s="1"/>
  <c r="I47" i="12"/>
  <c r="K47" i="12" s="1"/>
  <c r="I46" i="12"/>
  <c r="K46" i="12" s="1"/>
  <c r="I45" i="12"/>
  <c r="K45" i="12" s="1"/>
  <c r="J42" i="12"/>
  <c r="K42" i="12" s="1"/>
  <c r="J41" i="12"/>
  <c r="J34" i="12" s="1"/>
  <c r="M34" i="12" s="1"/>
  <c r="K40" i="12"/>
  <c r="I40" i="12"/>
  <c r="I39" i="12"/>
  <c r="K39" i="12" s="1"/>
  <c r="I38" i="12"/>
  <c r="K38" i="12" s="1"/>
  <c r="I37" i="12"/>
  <c r="K37" i="12" s="1"/>
  <c r="I36" i="12"/>
  <c r="K36" i="12" s="1"/>
  <c r="I35" i="12"/>
  <c r="K35" i="12" s="1"/>
  <c r="J32" i="12"/>
  <c r="K32" i="12" s="1"/>
  <c r="J31" i="12"/>
  <c r="J29" i="12" s="1"/>
  <c r="I30" i="12"/>
  <c r="K30" i="12" s="1"/>
  <c r="J27" i="12"/>
  <c r="K27" i="12" s="1"/>
  <c r="J26" i="12"/>
  <c r="K26" i="12" s="1"/>
  <c r="I25" i="12"/>
  <c r="K25" i="12" s="1"/>
  <c r="I24" i="12"/>
  <c r="L24" i="12" s="1"/>
  <c r="J22" i="12"/>
  <c r="K22" i="12" s="1"/>
  <c r="J21" i="12"/>
  <c r="J19" i="12" s="1"/>
  <c r="I20" i="12"/>
  <c r="K20" i="12" s="1"/>
  <c r="I19" i="12"/>
  <c r="L19" i="12" s="1"/>
  <c r="J17" i="12"/>
  <c r="K17" i="12" s="1"/>
  <c r="J16" i="12"/>
  <c r="K16" i="12" s="1"/>
  <c r="I15" i="12"/>
  <c r="K15" i="12" s="1"/>
  <c r="I14" i="12"/>
  <c r="L14" i="12" s="1"/>
  <c r="J144" i="11"/>
  <c r="J143" i="11"/>
  <c r="K143" i="11" s="1"/>
  <c r="I142" i="11"/>
  <c r="K142" i="11" s="1"/>
  <c r="D141" i="11"/>
  <c r="J139" i="11"/>
  <c r="K139" i="11" s="1"/>
  <c r="J138" i="11"/>
  <c r="K138" i="11" s="1"/>
  <c r="I137" i="11"/>
  <c r="K137" i="11" s="1"/>
  <c r="I136" i="11"/>
  <c r="K136" i="11" s="1"/>
  <c r="J133" i="11"/>
  <c r="K133" i="11" s="1"/>
  <c r="J132" i="11"/>
  <c r="K132" i="11" s="1"/>
  <c r="I131" i="11"/>
  <c r="K131" i="11" s="1"/>
  <c r="I130" i="11"/>
  <c r="K130" i="11" s="1"/>
  <c r="I129" i="11"/>
  <c r="K129" i="11" s="1"/>
  <c r="I128" i="11"/>
  <c r="K128" i="11" s="1"/>
  <c r="I127" i="11"/>
  <c r="K127" i="11" s="1"/>
  <c r="K126" i="11"/>
  <c r="I126" i="11"/>
  <c r="I125" i="11"/>
  <c r="K125" i="11" s="1"/>
  <c r="J122" i="11"/>
  <c r="K122" i="11" s="1"/>
  <c r="J121" i="11"/>
  <c r="K121" i="11" s="1"/>
  <c r="I120" i="11"/>
  <c r="K120" i="11" s="1"/>
  <c r="I119" i="11"/>
  <c r="K119" i="11" s="1"/>
  <c r="K116" i="11"/>
  <c r="J116" i="11"/>
  <c r="J115" i="11"/>
  <c r="K115" i="11" s="1"/>
  <c r="I114" i="11"/>
  <c r="K114" i="11" s="1"/>
  <c r="I113" i="11"/>
  <c r="K113" i="11" s="1"/>
  <c r="J110" i="11"/>
  <c r="K110" i="11" s="1"/>
  <c r="J109" i="11"/>
  <c r="K109" i="11" s="1"/>
  <c r="I108" i="11"/>
  <c r="K108" i="11" s="1"/>
  <c r="I107" i="11"/>
  <c r="K107" i="11" s="1"/>
  <c r="J104" i="11"/>
  <c r="K104" i="11" s="1"/>
  <c r="J103" i="11"/>
  <c r="K103" i="11" s="1"/>
  <c r="G102" i="11"/>
  <c r="I102" i="11" s="1"/>
  <c r="I101" i="11" s="1"/>
  <c r="L101" i="11" s="1"/>
  <c r="J99" i="11"/>
  <c r="J98" i="11"/>
  <c r="K98" i="11" s="1"/>
  <c r="I97" i="11"/>
  <c r="K97" i="11" s="1"/>
  <c r="J94" i="11"/>
  <c r="K94" i="11" s="1"/>
  <c r="J93" i="11"/>
  <c r="I92" i="11"/>
  <c r="K92" i="11" s="1"/>
  <c r="J89" i="11"/>
  <c r="K89" i="11" s="1"/>
  <c r="J88" i="11"/>
  <c r="K88" i="11" s="1"/>
  <c r="G87" i="11"/>
  <c r="I87" i="11" s="1"/>
  <c r="J84" i="11"/>
  <c r="K84" i="11" s="1"/>
  <c r="J83" i="11"/>
  <c r="K83" i="11" s="1"/>
  <c r="G82" i="11"/>
  <c r="I82" i="11" s="1"/>
  <c r="K82" i="11" s="1"/>
  <c r="J79" i="11"/>
  <c r="K79" i="11" s="1"/>
  <c r="J78" i="11"/>
  <c r="I77" i="11"/>
  <c r="K77" i="11" s="1"/>
  <c r="I76" i="11"/>
  <c r="K76" i="11" s="1"/>
  <c r="I75" i="11"/>
  <c r="K75" i="11" s="1"/>
  <c r="I74" i="11"/>
  <c r="I73" i="11"/>
  <c r="K73" i="11" s="1"/>
  <c r="J70" i="11"/>
  <c r="J69" i="11"/>
  <c r="K69" i="11" s="1"/>
  <c r="I68" i="11"/>
  <c r="K68" i="11" s="1"/>
  <c r="I67" i="11"/>
  <c r="K67" i="11" s="1"/>
  <c r="I66" i="11"/>
  <c r="K66" i="11" s="1"/>
  <c r="I65" i="11"/>
  <c r="K65" i="11" s="1"/>
  <c r="I64" i="11"/>
  <c r="I63" i="11"/>
  <c r="K63" i="11" s="1"/>
  <c r="J60" i="11"/>
  <c r="J59" i="11"/>
  <c r="K59" i="11" s="1"/>
  <c r="I58" i="11"/>
  <c r="K58" i="11" s="1"/>
  <c r="I57" i="11"/>
  <c r="K57" i="11" s="1"/>
  <c r="I56" i="11"/>
  <c r="K56" i="11" s="1"/>
  <c r="I55" i="11"/>
  <c r="K55" i="11" s="1"/>
  <c r="I54" i="11"/>
  <c r="K54" i="11" s="1"/>
  <c r="I53" i="11"/>
  <c r="K53" i="11" s="1"/>
  <c r="I52" i="11"/>
  <c r="K52" i="11" s="1"/>
  <c r="K51" i="11"/>
  <c r="I51" i="11"/>
  <c r="I50" i="11"/>
  <c r="I49" i="11"/>
  <c r="K49" i="11" s="1"/>
  <c r="J46" i="11"/>
  <c r="J45" i="11"/>
  <c r="K45" i="11" s="1"/>
  <c r="I44" i="11"/>
  <c r="K44" i="11" s="1"/>
  <c r="I43" i="11"/>
  <c r="K43" i="11" s="1"/>
  <c r="I42" i="11"/>
  <c r="K42" i="11" s="1"/>
  <c r="I41" i="11"/>
  <c r="K41" i="11" s="1"/>
  <c r="I40" i="11"/>
  <c r="K40" i="11" s="1"/>
  <c r="I39" i="11"/>
  <c r="K39" i="11" s="1"/>
  <c r="I38" i="11"/>
  <c r="K38" i="11" s="1"/>
  <c r="I37" i="11"/>
  <c r="K37" i="11" s="1"/>
  <c r="I36" i="11"/>
  <c r="I35" i="11"/>
  <c r="K35" i="11" s="1"/>
  <c r="J32" i="11"/>
  <c r="J31" i="11"/>
  <c r="K31" i="11" s="1"/>
  <c r="K30" i="11"/>
  <c r="I29" i="11"/>
  <c r="L29" i="11" s="1"/>
  <c r="J27" i="11"/>
  <c r="K27" i="11" s="1"/>
  <c r="J26" i="11"/>
  <c r="K26" i="11" s="1"/>
  <c r="I25" i="11"/>
  <c r="I24" i="11" s="1"/>
  <c r="L24" i="11" s="1"/>
  <c r="J22" i="11"/>
  <c r="K22" i="11" s="1"/>
  <c r="J21" i="11"/>
  <c r="K21" i="11" s="1"/>
  <c r="I20" i="11"/>
  <c r="K20" i="11" s="1"/>
  <c r="J17" i="11"/>
  <c r="K17" i="11" s="1"/>
  <c r="J16" i="11"/>
  <c r="K16" i="11" s="1"/>
  <c r="I15" i="11"/>
  <c r="K15" i="11" s="1"/>
  <c r="I14" i="11" l="1"/>
  <c r="L14" i="11" s="1"/>
  <c r="J24" i="11"/>
  <c r="M24" i="11" s="1"/>
  <c r="N24" i="11" s="1"/>
  <c r="O24" i="11" s="1"/>
  <c r="P24" i="11" s="1"/>
  <c r="I141" i="11"/>
  <c r="J48" i="11"/>
  <c r="M48" i="11" s="1"/>
  <c r="I106" i="11"/>
  <c r="L106" i="11" s="1"/>
  <c r="J19" i="11"/>
  <c r="M19" i="11" s="1"/>
  <c r="J29" i="11"/>
  <c r="M29" i="11" s="1"/>
  <c r="N29" i="11" s="1"/>
  <c r="I34" i="11"/>
  <c r="I91" i="11"/>
  <c r="L91" i="11" s="1"/>
  <c r="J124" i="11"/>
  <c r="M124" i="11" s="1"/>
  <c r="K25" i="11"/>
  <c r="J86" i="11"/>
  <c r="M86" i="11" s="1"/>
  <c r="K102" i="11"/>
  <c r="I112" i="11"/>
  <c r="L112" i="11" s="1"/>
  <c r="I118" i="11"/>
  <c r="L118" i="11" s="1"/>
  <c r="J34" i="11"/>
  <c r="M34" i="11" s="1"/>
  <c r="I48" i="11"/>
  <c r="I96" i="11"/>
  <c r="L96" i="11" s="1"/>
  <c r="J135" i="11"/>
  <c r="M135" i="11" s="1"/>
  <c r="I51" i="12"/>
  <c r="K52" i="12"/>
  <c r="I44" i="12"/>
  <c r="L44" i="12" s="1"/>
  <c r="J66" i="12"/>
  <c r="M66" i="12" s="1"/>
  <c r="N66" i="12" s="1"/>
  <c r="O66" i="12" s="1"/>
  <c r="P66" i="12" s="1"/>
  <c r="I29" i="12"/>
  <c r="L29" i="12" s="1"/>
  <c r="J61" i="12"/>
  <c r="M61" i="12" s="1"/>
  <c r="J71" i="12"/>
  <c r="M71" i="12" s="1"/>
  <c r="I34" i="12"/>
  <c r="L34" i="12" s="1"/>
  <c r="J51" i="12"/>
  <c r="M51" i="12" s="1"/>
  <c r="I71" i="12"/>
  <c r="K73" i="12"/>
  <c r="I82" i="12"/>
  <c r="J93" i="12"/>
  <c r="K93" i="12" s="1"/>
  <c r="N44" i="12"/>
  <c r="L76" i="12"/>
  <c r="N76" i="12" s="1"/>
  <c r="K76" i="12"/>
  <c r="N14" i="12"/>
  <c r="M29" i="12"/>
  <c r="L51" i="12"/>
  <c r="K51" i="12"/>
  <c r="M88" i="12"/>
  <c r="N88" i="12" s="1"/>
  <c r="K88" i="12"/>
  <c r="K57" i="12"/>
  <c r="I56" i="12"/>
  <c r="K98" i="12"/>
  <c r="L98" i="12"/>
  <c r="N98" i="12" s="1"/>
  <c r="K19" i="12"/>
  <c r="M19" i="12"/>
  <c r="N19" i="12" s="1"/>
  <c r="I61" i="12"/>
  <c r="K62" i="12"/>
  <c r="N34" i="12"/>
  <c r="L82" i="12"/>
  <c r="N82" i="12" s="1"/>
  <c r="K82" i="12"/>
  <c r="M93" i="12"/>
  <c r="N93" i="12" s="1"/>
  <c r="J14" i="12"/>
  <c r="M14" i="12" s="1"/>
  <c r="K21" i="12"/>
  <c r="J24" i="12"/>
  <c r="M24" i="12" s="1"/>
  <c r="N24" i="12" s="1"/>
  <c r="K31" i="12"/>
  <c r="K41" i="12"/>
  <c r="K66" i="12"/>
  <c r="K14" i="12"/>
  <c r="K34" i="12"/>
  <c r="K53" i="12"/>
  <c r="J56" i="12"/>
  <c r="M56" i="12" s="1"/>
  <c r="K78" i="12"/>
  <c r="K84" i="12"/>
  <c r="J44" i="12"/>
  <c r="M44" i="12" s="1"/>
  <c r="I19" i="11"/>
  <c r="J62" i="11"/>
  <c r="M62" i="11" s="1"/>
  <c r="K70" i="11"/>
  <c r="K93" i="11"/>
  <c r="J91" i="11"/>
  <c r="N101" i="11"/>
  <c r="L141" i="11"/>
  <c r="K32" i="11"/>
  <c r="K36" i="11"/>
  <c r="K46" i="11"/>
  <c r="K50" i="11"/>
  <c r="K60" i="11"/>
  <c r="I81" i="11"/>
  <c r="K144" i="11"/>
  <c r="J141" i="11"/>
  <c r="M141" i="11" s="1"/>
  <c r="I72" i="11"/>
  <c r="K74" i="11"/>
  <c r="K99" i="11"/>
  <c r="J96" i="11"/>
  <c r="M96" i="11" s="1"/>
  <c r="J14" i="11"/>
  <c r="I62" i="11"/>
  <c r="K64" i="11"/>
  <c r="K78" i="11"/>
  <c r="J72" i="11"/>
  <c r="M72" i="11" s="1"/>
  <c r="K87" i="11"/>
  <c r="I86" i="11"/>
  <c r="J101" i="11"/>
  <c r="M101" i="11" s="1"/>
  <c r="I135" i="11"/>
  <c r="J81" i="11"/>
  <c r="M81" i="11" s="1"/>
  <c r="I124" i="11"/>
  <c r="J106" i="11"/>
  <c r="M106" i="11" s="1"/>
  <c r="J112" i="11"/>
  <c r="M112" i="11" s="1"/>
  <c r="J118" i="11"/>
  <c r="M118" i="11" s="1"/>
  <c r="N118" i="11" l="1"/>
  <c r="N112" i="11"/>
  <c r="N106" i="11"/>
  <c r="O106" i="11" s="1"/>
  <c r="P106" i="11" s="1"/>
  <c r="K24" i="11"/>
  <c r="N96" i="11"/>
  <c r="O96" i="11" s="1"/>
  <c r="P96" i="11" s="1"/>
  <c r="K34" i="11"/>
  <c r="L34" i="11"/>
  <c r="N34" i="11" s="1"/>
  <c r="O34" i="11" s="1"/>
  <c r="P34" i="11" s="1"/>
  <c r="K29" i="11"/>
  <c r="K48" i="11"/>
  <c r="L48" i="11"/>
  <c r="N48" i="11" s="1"/>
  <c r="K71" i="12"/>
  <c r="L71" i="12"/>
  <c r="N71" i="12" s="1"/>
  <c r="N51" i="12"/>
  <c r="O51" i="12" s="1"/>
  <c r="P51" i="12" s="1"/>
  <c r="K24" i="12"/>
  <c r="K29" i="12"/>
  <c r="N29" i="12"/>
  <c r="O29" i="12" s="1"/>
  <c r="O24" i="12"/>
  <c r="P24" i="12" s="1"/>
  <c r="O93" i="12"/>
  <c r="P93" i="12" s="1"/>
  <c r="O19" i="12"/>
  <c r="P19" i="12" s="1"/>
  <c r="O88" i="12"/>
  <c r="P88" i="12" s="1"/>
  <c r="O82" i="12"/>
  <c r="P82" i="12" s="1"/>
  <c r="K56" i="12"/>
  <c r="L56" i="12"/>
  <c r="N56" i="12" s="1"/>
  <c r="O34" i="12"/>
  <c r="P34" i="12" s="1"/>
  <c r="O76" i="12"/>
  <c r="P76" i="12" s="1"/>
  <c r="K44" i="12"/>
  <c r="O98" i="12"/>
  <c r="P98" i="12"/>
  <c r="O14" i="12"/>
  <c r="L61" i="12"/>
  <c r="N61" i="12" s="1"/>
  <c r="K61" i="12"/>
  <c r="O44" i="12"/>
  <c r="P44" i="12" s="1"/>
  <c r="O112" i="11"/>
  <c r="P112" i="11"/>
  <c r="L62" i="11"/>
  <c r="N62" i="11" s="1"/>
  <c r="K62" i="11"/>
  <c r="L72" i="11"/>
  <c r="N72" i="11" s="1"/>
  <c r="K72" i="11"/>
  <c r="M91" i="11"/>
  <c r="N91" i="11" s="1"/>
  <c r="K91" i="11"/>
  <c r="K124" i="11"/>
  <c r="L124" i="11"/>
  <c r="N124" i="11" s="1"/>
  <c r="K112" i="11"/>
  <c r="O29" i="11"/>
  <c r="P29" i="11" s="1"/>
  <c r="K118" i="11"/>
  <c r="K106" i="11"/>
  <c r="N141" i="11"/>
  <c r="L135" i="11"/>
  <c r="N135" i="11" s="1"/>
  <c r="K135" i="11"/>
  <c r="L86" i="11"/>
  <c r="N86" i="11" s="1"/>
  <c r="K86" i="11"/>
  <c r="O118" i="11"/>
  <c r="P118" i="11" s="1"/>
  <c r="K81" i="11"/>
  <c r="L81" i="11"/>
  <c r="N81" i="11" s="1"/>
  <c r="O101" i="11"/>
  <c r="P101" i="11" s="1"/>
  <c r="K19" i="11"/>
  <c r="L19" i="11"/>
  <c r="K96" i="11"/>
  <c r="M14" i="11"/>
  <c r="K14" i="11"/>
  <c r="K101" i="11"/>
  <c r="K141" i="11"/>
  <c r="O48" i="11" l="1"/>
  <c r="P48" i="11" s="1"/>
  <c r="O71" i="12"/>
  <c r="P71" i="12" s="1"/>
  <c r="P29" i="12"/>
  <c r="O61" i="12"/>
  <c r="P61" i="12" s="1"/>
  <c r="P14" i="12"/>
  <c r="O56" i="12"/>
  <c r="P56" i="12" s="1"/>
  <c r="N19" i="11"/>
  <c r="O141" i="11"/>
  <c r="P141" i="11" s="1"/>
  <c r="N14" i="11"/>
  <c r="O124" i="11"/>
  <c r="P124" i="11" s="1"/>
  <c r="O81" i="11"/>
  <c r="P81" i="11" s="1"/>
  <c r="O86" i="11"/>
  <c r="P86" i="11" s="1"/>
  <c r="O91" i="11"/>
  <c r="P91" i="11" s="1"/>
  <c r="O62" i="11"/>
  <c r="P62" i="11" s="1"/>
  <c r="O135" i="11"/>
  <c r="P135" i="11" s="1"/>
  <c r="O72" i="11"/>
  <c r="P72" i="11" s="1"/>
  <c r="P102" i="12" l="1"/>
  <c r="J104" i="3" s="1"/>
  <c r="J105" i="3" s="1"/>
  <c r="F105" i="3" s="1"/>
  <c r="O102" i="12"/>
  <c r="O14" i="11"/>
  <c r="O19" i="11"/>
  <c r="P19" i="11" s="1"/>
  <c r="O146" i="11" l="1"/>
  <c r="P14" i="11"/>
  <c r="P146" i="11" s="1"/>
  <c r="J102" i="3" s="1"/>
  <c r="J103" i="3" s="1"/>
  <c r="F103" i="3" l="1"/>
  <c r="H103" i="3"/>
  <c r="H801" i="2"/>
  <c r="H800" i="2"/>
  <c r="H799" i="2"/>
  <c r="H798" i="2"/>
  <c r="I797" i="2"/>
  <c r="I796" i="2"/>
  <c r="H406" i="2"/>
  <c r="H405" i="2"/>
  <c r="H404" i="2"/>
  <c r="H403" i="2"/>
  <c r="I402" i="2"/>
  <c r="I401" i="2"/>
  <c r="I795" i="2" l="1"/>
  <c r="L795" i="2" s="1"/>
  <c r="H795" i="2"/>
  <c r="K795" i="2" s="1"/>
  <c r="J795" i="2"/>
  <c r="H400" i="2"/>
  <c r="I400" i="2"/>
  <c r="L400" i="2" s="1"/>
  <c r="H995" i="2"/>
  <c r="H996" i="2"/>
  <c r="H994" i="2"/>
  <c r="I993" i="2"/>
  <c r="I992" i="2"/>
  <c r="H1002" i="2"/>
  <c r="H1000" i="2" s="1"/>
  <c r="I1001" i="2"/>
  <c r="I1000" i="2" s="1"/>
  <c r="L1000" i="2" s="1"/>
  <c r="L1679" i="2"/>
  <c r="M1679" i="2" s="1"/>
  <c r="J1679" i="2"/>
  <c r="M795" i="2" l="1"/>
  <c r="N795" i="2" s="1"/>
  <c r="O795" i="2" s="1"/>
  <c r="J400" i="2"/>
  <c r="K400" i="2"/>
  <c r="M400" i="2" s="1"/>
  <c r="N400" i="2" s="1"/>
  <c r="O400" i="2" s="1"/>
  <c r="H991" i="2"/>
  <c r="K991" i="2" s="1"/>
  <c r="I991" i="2"/>
  <c r="L991" i="2" s="1"/>
  <c r="J1000" i="2"/>
  <c r="K1000" i="2"/>
  <c r="M1000" i="2" s="1"/>
  <c r="N1679" i="2"/>
  <c r="O1679" i="2" s="1"/>
  <c r="J991" i="2" l="1"/>
  <c r="M991" i="2"/>
  <c r="N991" i="2" s="1"/>
  <c r="O991" i="2" s="1"/>
  <c r="N1000" i="2"/>
  <c r="O1000" i="2" s="1"/>
  <c r="H1677" i="2" l="1"/>
  <c r="H1676" i="2"/>
  <c r="I1675" i="2"/>
  <c r="I1674" i="2"/>
  <c r="I1673" i="2"/>
  <c r="F1645" i="2"/>
  <c r="I1672" i="2" l="1"/>
  <c r="H1672" i="2"/>
  <c r="L1672" i="2"/>
  <c r="F1766" i="2"/>
  <c r="H1614" i="2"/>
  <c r="H1381" i="2"/>
  <c r="H1377" i="2"/>
  <c r="H1374" i="2" s="1"/>
  <c r="I1376" i="2"/>
  <c r="I1375" i="2"/>
  <c r="H1341" i="2"/>
  <c r="H1342" i="2"/>
  <c r="H1343" i="2"/>
  <c r="H1344" i="2"/>
  <c r="H1335" i="2"/>
  <c r="H1334" i="2"/>
  <c r="H1333" i="2"/>
  <c r="H1332" i="2"/>
  <c r="H1331" i="2"/>
  <c r="H1330" i="2"/>
  <c r="H1329" i="2"/>
  <c r="H1328" i="2"/>
  <c r="H1327" i="2"/>
  <c r="I1326" i="2"/>
  <c r="I1325" i="2"/>
  <c r="F1324" i="2"/>
  <c r="G393" i="2"/>
  <c r="M37" i="4"/>
  <c r="L37" i="4"/>
  <c r="F890" i="2"/>
  <c r="H890" i="2" s="1"/>
  <c r="F889" i="2"/>
  <c r="I889" i="2" s="1"/>
  <c r="F888" i="2"/>
  <c r="I888" i="2" s="1"/>
  <c r="H885" i="2"/>
  <c r="H886" i="2"/>
  <c r="H887" i="2"/>
  <c r="H884" i="2"/>
  <c r="I883" i="2"/>
  <c r="I882" i="2"/>
  <c r="H879" i="2"/>
  <c r="H878" i="2"/>
  <c r="H877" i="2"/>
  <c r="H876" i="2"/>
  <c r="H875" i="2"/>
  <c r="I874" i="2"/>
  <c r="I873" i="2"/>
  <c r="I872" i="2"/>
  <c r="I871" i="2"/>
  <c r="I870" i="2"/>
  <c r="I869" i="2"/>
  <c r="H868" i="2"/>
  <c r="J1672" i="2" l="1"/>
  <c r="K1672" i="2"/>
  <c r="M1672" i="2" s="1"/>
  <c r="N1672" i="2" s="1"/>
  <c r="O1672" i="2" s="1"/>
  <c r="I1374" i="2"/>
  <c r="L1374" i="2" s="1"/>
  <c r="I1324" i="2"/>
  <c r="L1324" i="2" s="1"/>
  <c r="K1374" i="2"/>
  <c r="H1324" i="2"/>
  <c r="K1324" i="2" s="1"/>
  <c r="H881" i="2"/>
  <c r="H867" i="2"/>
  <c r="K867" i="2" s="1"/>
  <c r="I881" i="2"/>
  <c r="I867" i="2"/>
  <c r="L867" i="2" s="1"/>
  <c r="H236" i="2"/>
  <c r="H237" i="2"/>
  <c r="I235" i="2"/>
  <c r="I234" i="2"/>
  <c r="I233" i="2"/>
  <c r="F259" i="2"/>
  <c r="H768" i="2"/>
  <c r="H373" i="2"/>
  <c r="F1233" i="2"/>
  <c r="I1236" i="2"/>
  <c r="I1235" i="2"/>
  <c r="H1234" i="2"/>
  <c r="H1233" i="2" s="1"/>
  <c r="F651" i="2"/>
  <c r="I654" i="2"/>
  <c r="I653" i="2"/>
  <c r="H652" i="2"/>
  <c r="H651" i="2" s="1"/>
  <c r="I262" i="2"/>
  <c r="I261" i="2"/>
  <c r="H260" i="2"/>
  <c r="H259" i="2" s="1"/>
  <c r="M867" i="2" l="1"/>
  <c r="N867" i="2" s="1"/>
  <c r="O867" i="2" s="1"/>
  <c r="J1324" i="2"/>
  <c r="M1374" i="2"/>
  <c r="N1374" i="2" s="1"/>
  <c r="O1374" i="2" s="1"/>
  <c r="J1374" i="2"/>
  <c r="M1324" i="2"/>
  <c r="N1324" i="2" s="1"/>
  <c r="O1324" i="2" s="1"/>
  <c r="I232" i="2"/>
  <c r="I651" i="2"/>
  <c r="J651" i="2" s="1"/>
  <c r="J867" i="2"/>
  <c r="I259" i="2"/>
  <c r="J259" i="2" s="1"/>
  <c r="I1233" i="2"/>
  <c r="J1233" i="2" s="1"/>
  <c r="H232" i="2"/>
  <c r="K232" i="2" s="1"/>
  <c r="K1233" i="2"/>
  <c r="K651" i="2"/>
  <c r="K259" i="2"/>
  <c r="L1233" i="2" l="1"/>
  <c r="M1233" i="2" s="1"/>
  <c r="N1233" i="2" s="1"/>
  <c r="O1233" i="2" s="1"/>
  <c r="L259" i="2"/>
  <c r="M259" i="2" s="1"/>
  <c r="N259" i="2" s="1"/>
  <c r="O259" i="2" s="1"/>
  <c r="J232" i="2"/>
  <c r="L651" i="2"/>
  <c r="M651" i="2" s="1"/>
  <c r="N651" i="2" s="1"/>
  <c r="O651" i="2" s="1"/>
  <c r="L232" i="2"/>
  <c r="M232" i="2" s="1"/>
  <c r="N232" i="2" l="1"/>
  <c r="O232" i="2" s="1"/>
  <c r="A96" i="3" l="1"/>
  <c r="K97" i="3"/>
  <c r="B44" i="1"/>
  <c r="B96" i="3" s="1"/>
  <c r="B97" i="3" s="1"/>
  <c r="H1769" i="2"/>
  <c r="F1763" i="2"/>
  <c r="H1763" i="2" s="1"/>
  <c r="H1770" i="2"/>
  <c r="I1768" i="2"/>
  <c r="I1767" i="2"/>
  <c r="H1764" i="2"/>
  <c r="H1762" i="2"/>
  <c r="H1761" i="2"/>
  <c r="I1760" i="2"/>
  <c r="L1760" i="2" s="1"/>
  <c r="I1758" i="2"/>
  <c r="I1757" i="2" s="1"/>
  <c r="H1757" i="2"/>
  <c r="I1774" i="2"/>
  <c r="I1773" i="2"/>
  <c r="H1772" i="2"/>
  <c r="K1772" i="2" s="1"/>
  <c r="B93" i="3"/>
  <c r="A93" i="3"/>
  <c r="K95" i="3"/>
  <c r="K94" i="3"/>
  <c r="B43" i="1"/>
  <c r="C310" i="4"/>
  <c r="F310" i="4" s="1"/>
  <c r="C309" i="4"/>
  <c r="C308" i="4"/>
  <c r="F308" i="4" s="1"/>
  <c r="C307" i="4"/>
  <c r="F307" i="4" s="1"/>
  <c r="C306" i="4"/>
  <c r="F306" i="4" s="1"/>
  <c r="C305" i="4"/>
  <c r="C304" i="4"/>
  <c r="C303" i="4"/>
  <c r="C302" i="4"/>
  <c r="F302" i="4" s="1"/>
  <c r="G301" i="4"/>
  <c r="G302" i="4"/>
  <c r="F303" i="4"/>
  <c r="G303" i="4"/>
  <c r="F304" i="4"/>
  <c r="G304" i="4"/>
  <c r="F305" i="4"/>
  <c r="G305" i="4"/>
  <c r="G306" i="4"/>
  <c r="G307" i="4"/>
  <c r="G308" i="4"/>
  <c r="F309" i="4"/>
  <c r="G309" i="4"/>
  <c r="G310" i="4"/>
  <c r="C301" i="4"/>
  <c r="F301" i="4" s="1"/>
  <c r="G300" i="4"/>
  <c r="B300" i="4"/>
  <c r="C300" i="4" s="1"/>
  <c r="F300" i="4" s="1"/>
  <c r="H1744" i="2"/>
  <c r="H1743" i="2"/>
  <c r="H1742" i="2"/>
  <c r="D1742" i="2"/>
  <c r="I1741" i="2"/>
  <c r="I1740" i="2"/>
  <c r="I1753" i="2"/>
  <c r="I1752" i="2"/>
  <c r="H1751" i="2"/>
  <c r="K1751" i="2" s="1"/>
  <c r="H1749" i="2"/>
  <c r="H1746" i="2" s="1"/>
  <c r="I1748" i="2"/>
  <c r="I1747" i="2"/>
  <c r="H1766" i="2" l="1"/>
  <c r="I1766" i="2"/>
  <c r="L1766" i="2" s="1"/>
  <c r="I1739" i="2"/>
  <c r="J1757" i="2"/>
  <c r="I1772" i="2"/>
  <c r="L1772" i="2" s="1"/>
  <c r="M1772" i="2" s="1"/>
  <c r="N1772" i="2" s="1"/>
  <c r="O1772" i="2" s="1"/>
  <c r="L1757" i="2"/>
  <c r="H1739" i="2"/>
  <c r="J1739" i="2" s="1"/>
  <c r="H1760" i="2"/>
  <c r="J1760" i="2" s="1"/>
  <c r="K1766" i="2"/>
  <c r="K1757" i="2"/>
  <c r="I1751" i="2"/>
  <c r="J1751" i="2" s="1"/>
  <c r="G311" i="4"/>
  <c r="F1739" i="2" s="1"/>
  <c r="F311" i="4"/>
  <c r="F1746" i="2" s="1"/>
  <c r="K1746" i="2" s="1"/>
  <c r="I1746" i="2"/>
  <c r="G195" i="4"/>
  <c r="G194" i="4"/>
  <c r="G193" i="4" s="1"/>
  <c r="F194" i="4"/>
  <c r="F193" i="4"/>
  <c r="I1728" i="2"/>
  <c r="I1727" i="2"/>
  <c r="H1726" i="2"/>
  <c r="K1726" i="2" s="1"/>
  <c r="H1735" i="2"/>
  <c r="H1732" i="2" s="1"/>
  <c r="I1734" i="2"/>
  <c r="I1733" i="2"/>
  <c r="H1724" i="2"/>
  <c r="H1721" i="2" s="1"/>
  <c r="I1723" i="2"/>
  <c r="I1722" i="2"/>
  <c r="H1719" i="2"/>
  <c r="H1716" i="2" s="1"/>
  <c r="I1718" i="2"/>
  <c r="I1717" i="2"/>
  <c r="H1703" i="2"/>
  <c r="H1702" i="2"/>
  <c r="I1701" i="2"/>
  <c r="I1700" i="2"/>
  <c r="H41" i="2"/>
  <c r="L37" i="2"/>
  <c r="K37" i="2"/>
  <c r="J37" i="2"/>
  <c r="L1739" i="2" l="1"/>
  <c r="L1746" i="2"/>
  <c r="M1746" i="2" s="1"/>
  <c r="N1746" i="2" s="1"/>
  <c r="O1746" i="2" s="1"/>
  <c r="M1766" i="2"/>
  <c r="N1766" i="2" s="1"/>
  <c r="O1766" i="2" s="1"/>
  <c r="J1766" i="2"/>
  <c r="I1699" i="2"/>
  <c r="L1699" i="2" s="1"/>
  <c r="J1746" i="2"/>
  <c r="J1772" i="2"/>
  <c r="K1760" i="2"/>
  <c r="M1760" i="2" s="1"/>
  <c r="N1760" i="2" s="1"/>
  <c r="O1760" i="2" s="1"/>
  <c r="K1739" i="2"/>
  <c r="M1739" i="2" s="1"/>
  <c r="N1739" i="2" s="1"/>
  <c r="O1739" i="2" s="1"/>
  <c r="M1757" i="2"/>
  <c r="N1757" i="2" s="1"/>
  <c r="O1757" i="2" s="1"/>
  <c r="L1751" i="2"/>
  <c r="M1751" i="2" s="1"/>
  <c r="N1751" i="2" s="1"/>
  <c r="O1751" i="2" s="1"/>
  <c r="I1721" i="2"/>
  <c r="J1721" i="2" s="1"/>
  <c r="I1732" i="2"/>
  <c r="J1732" i="2" s="1"/>
  <c r="I1726" i="2"/>
  <c r="L1726" i="2" s="1"/>
  <c r="M1726" i="2" s="1"/>
  <c r="H1699" i="2"/>
  <c r="I1716" i="2"/>
  <c r="M37" i="2"/>
  <c r="N37" i="2" s="1"/>
  <c r="O37" i="2" s="1"/>
  <c r="K82" i="3"/>
  <c r="K83" i="3"/>
  <c r="K84" i="3"/>
  <c r="K85" i="3"/>
  <c r="K86" i="3"/>
  <c r="K87" i="3"/>
  <c r="K74" i="3"/>
  <c r="B74" i="3"/>
  <c r="A74" i="3"/>
  <c r="B92" i="3"/>
  <c r="B91" i="3"/>
  <c r="B90" i="3"/>
  <c r="A90" i="3"/>
  <c r="K92" i="3"/>
  <c r="K91" i="3"/>
  <c r="B88" i="3"/>
  <c r="B89" i="3" s="1"/>
  <c r="A88" i="3"/>
  <c r="A89" i="3" s="1"/>
  <c r="K89" i="3"/>
  <c r="B87" i="3"/>
  <c r="A87" i="3"/>
  <c r="B86" i="3"/>
  <c r="A86" i="3"/>
  <c r="B85" i="3"/>
  <c r="A85" i="3"/>
  <c r="B84" i="3"/>
  <c r="A84" i="3"/>
  <c r="B83" i="3"/>
  <c r="A83" i="3"/>
  <c r="B82" i="3"/>
  <c r="A82" i="3"/>
  <c r="B81" i="3"/>
  <c r="A81" i="3"/>
  <c r="B80" i="3"/>
  <c r="A80" i="3"/>
  <c r="B79" i="3"/>
  <c r="A79" i="3"/>
  <c r="B78" i="3"/>
  <c r="A78" i="3"/>
  <c r="B77" i="3"/>
  <c r="A77" i="3"/>
  <c r="K81" i="3"/>
  <c r="K80" i="3"/>
  <c r="K79" i="3"/>
  <c r="K78" i="3"/>
  <c r="F1090" i="2"/>
  <c r="I255" i="4"/>
  <c r="H255" i="4"/>
  <c r="G257" i="4"/>
  <c r="N238" i="4"/>
  <c r="O238" i="4"/>
  <c r="P238" i="4"/>
  <c r="Q238" i="4"/>
  <c r="R238" i="4"/>
  <c r="F1368" i="2" s="1"/>
  <c r="S238" i="4"/>
  <c r="T238" i="4"/>
  <c r="U238" i="4"/>
  <c r="F1364" i="2" s="1"/>
  <c r="V238" i="4"/>
  <c r="W238" i="4"/>
  <c r="X238" i="4"/>
  <c r="Y238" i="4"/>
  <c r="Z238" i="4"/>
  <c r="M238" i="4"/>
  <c r="I235" i="4"/>
  <c r="J235" i="4" s="1"/>
  <c r="K235" i="4" s="1"/>
  <c r="I230" i="4"/>
  <c r="J230" i="4" s="1"/>
  <c r="I234" i="4"/>
  <c r="J234" i="4" s="1"/>
  <c r="I233" i="4"/>
  <c r="C236" i="4"/>
  <c r="H236" i="4" s="1"/>
  <c r="J233" i="4"/>
  <c r="I232" i="4"/>
  <c r="I231" i="4"/>
  <c r="F234" i="4"/>
  <c r="F233" i="4"/>
  <c r="H1219" i="2"/>
  <c r="H1218" i="2"/>
  <c r="I1217" i="2"/>
  <c r="I1216" i="2"/>
  <c r="I1215" i="2"/>
  <c r="H1212" i="2"/>
  <c r="H1211" i="2"/>
  <c r="I1210" i="2"/>
  <c r="I1209" i="2"/>
  <c r="I1208" i="2"/>
  <c r="F264" i="4"/>
  <c r="F1194" i="2" s="1"/>
  <c r="F263" i="4"/>
  <c r="F1207" i="2" s="1"/>
  <c r="C247" i="4"/>
  <c r="C242" i="4"/>
  <c r="I1098" i="2"/>
  <c r="I1097" i="2" s="1"/>
  <c r="H1097" i="2"/>
  <c r="B224" i="4"/>
  <c r="D224" i="4" s="1"/>
  <c r="F1097" i="2" s="1"/>
  <c r="J1699" i="2" l="1"/>
  <c r="O1755" i="2"/>
  <c r="O1737" i="2"/>
  <c r="J95" i="3" s="1"/>
  <c r="F95" i="3" s="1"/>
  <c r="J236" i="4"/>
  <c r="K236" i="4" s="1"/>
  <c r="K1699" i="2"/>
  <c r="M1699" i="2" s="1"/>
  <c r="N1699" i="2" s="1"/>
  <c r="O1699" i="2" s="1"/>
  <c r="J1726" i="2"/>
  <c r="N1726" i="2"/>
  <c r="O1726" i="2" s="1"/>
  <c r="J1716" i="2"/>
  <c r="H1214" i="2"/>
  <c r="H1207" i="2"/>
  <c r="K1207" i="2" s="1"/>
  <c r="I238" i="4"/>
  <c r="I1207" i="2"/>
  <c r="L1207" i="2" s="1"/>
  <c r="I1214" i="2"/>
  <c r="L1097" i="2"/>
  <c r="J1097" i="2"/>
  <c r="K1097" i="2"/>
  <c r="B42" i="1"/>
  <c r="A42" i="1"/>
  <c r="B41" i="1"/>
  <c r="A41" i="1"/>
  <c r="J94" i="3" l="1"/>
  <c r="D94" i="3" s="1"/>
  <c r="J93" i="3"/>
  <c r="C43" i="1"/>
  <c r="J97" i="3"/>
  <c r="C44" i="1"/>
  <c r="J1207" i="2"/>
  <c r="J1214" i="2"/>
  <c r="M1207" i="2"/>
  <c r="N1207" i="2" s="1"/>
  <c r="O1207" i="2" s="1"/>
  <c r="M1097" i="2"/>
  <c r="N1097" i="2" s="1"/>
  <c r="O1097" i="2" s="1"/>
  <c r="I1706" i="2"/>
  <c r="I1707" i="2"/>
  <c r="H1708" i="2"/>
  <c r="H1705" i="2" s="1"/>
  <c r="H1666" i="2"/>
  <c r="H1669" i="2"/>
  <c r="H1668" i="2"/>
  <c r="H1667" i="2"/>
  <c r="I1665" i="2"/>
  <c r="I1664" i="2"/>
  <c r="H97" i="3" l="1"/>
  <c r="J96" i="3"/>
  <c r="I1705" i="2"/>
  <c r="J1705" i="2" s="1"/>
  <c r="K1705" i="2"/>
  <c r="H1663" i="2"/>
  <c r="I1663" i="2"/>
  <c r="L1663" i="2" s="1"/>
  <c r="F1690" i="2"/>
  <c r="F1683" i="2"/>
  <c r="H1697" i="2"/>
  <c r="H1696" i="2"/>
  <c r="I1695" i="2"/>
  <c r="H1694" i="2"/>
  <c r="H1693" i="2"/>
  <c r="I1692" i="2"/>
  <c r="I1691" i="2"/>
  <c r="H1661" i="2"/>
  <c r="H1660" i="2"/>
  <c r="H1659" i="2"/>
  <c r="H1658" i="2"/>
  <c r="H1657" i="2"/>
  <c r="H1656" i="2"/>
  <c r="H1655" i="2"/>
  <c r="H1654" i="2"/>
  <c r="I1653" i="2"/>
  <c r="I1652" i="2"/>
  <c r="I1651" i="2"/>
  <c r="I1646" i="2"/>
  <c r="I1645" i="2" s="1"/>
  <c r="H1645" i="2"/>
  <c r="I1686" i="2"/>
  <c r="I1685" i="2"/>
  <c r="H1684" i="2"/>
  <c r="H1683" i="2" s="1"/>
  <c r="H1268" i="2"/>
  <c r="H1267" i="2"/>
  <c r="H1266" i="2"/>
  <c r="H1265" i="2"/>
  <c r="I1264" i="2"/>
  <c r="I1263" i="2"/>
  <c r="H1443" i="2"/>
  <c r="H1442" i="2" s="1"/>
  <c r="K1442" i="2" s="1"/>
  <c r="D1443" i="2"/>
  <c r="I1442" i="2"/>
  <c r="L1442" i="2" s="1"/>
  <c r="H1436" i="2"/>
  <c r="H1435" i="2"/>
  <c r="H1434" i="2"/>
  <c r="H1433" i="2"/>
  <c r="H1432" i="2"/>
  <c r="I1431" i="2"/>
  <c r="I1430" i="2"/>
  <c r="I1429" i="2"/>
  <c r="I1428" i="2"/>
  <c r="I1427" i="2"/>
  <c r="I1426" i="2"/>
  <c r="H1425" i="2"/>
  <c r="H1440" i="2"/>
  <c r="H1439" i="2" s="1"/>
  <c r="K1439" i="2" s="1"/>
  <c r="D1440" i="2"/>
  <c r="I1439" i="2"/>
  <c r="L1439" i="2" s="1"/>
  <c r="H1422" i="2"/>
  <c r="H1421" i="2"/>
  <c r="H1420" i="2"/>
  <c r="H1419" i="2"/>
  <c r="H1418" i="2"/>
  <c r="I1417" i="2"/>
  <c r="I1416" i="2"/>
  <c r="I1415" i="2"/>
  <c r="I1414" i="2"/>
  <c r="I1413" i="2"/>
  <c r="I1412" i="2"/>
  <c r="H1411" i="2"/>
  <c r="L1705" i="2" l="1"/>
  <c r="M1705" i="2" s="1"/>
  <c r="I1650" i="2"/>
  <c r="L1650" i="2" s="1"/>
  <c r="J1663" i="2"/>
  <c r="K1663" i="2"/>
  <c r="M1663" i="2" s="1"/>
  <c r="N1663" i="2" s="1"/>
  <c r="O1663" i="2" s="1"/>
  <c r="H1690" i="2"/>
  <c r="K1690" i="2" s="1"/>
  <c r="I1690" i="2"/>
  <c r="L1690" i="2" s="1"/>
  <c r="H1650" i="2"/>
  <c r="I1683" i="2"/>
  <c r="J1683" i="2" s="1"/>
  <c r="H1262" i="2"/>
  <c r="K1262" i="2" s="1"/>
  <c r="L1645" i="2"/>
  <c r="J1645" i="2"/>
  <c r="I1262" i="2"/>
  <c r="L1262" i="2" s="1"/>
  <c r="K1645" i="2"/>
  <c r="K1683" i="2"/>
  <c r="J1439" i="2"/>
  <c r="J1442" i="2"/>
  <c r="M1442" i="2"/>
  <c r="H1410" i="2"/>
  <c r="I1410" i="2"/>
  <c r="L1410" i="2" s="1"/>
  <c r="H1424" i="2"/>
  <c r="K1424" i="2" s="1"/>
  <c r="I1424" i="2"/>
  <c r="L1424" i="2" s="1"/>
  <c r="M1439" i="2"/>
  <c r="N1439" i="2" s="1"/>
  <c r="O1439" i="2" s="1"/>
  <c r="I1625" i="2"/>
  <c r="H1626" i="2"/>
  <c r="H894" i="2"/>
  <c r="H897" i="2"/>
  <c r="H896" i="2" s="1"/>
  <c r="I896" i="2"/>
  <c r="L896" i="2" s="1"/>
  <c r="H1637" i="2"/>
  <c r="K1637" i="2" s="1"/>
  <c r="H1448" i="2"/>
  <c r="K1448" i="2" s="1"/>
  <c r="H1364" i="2"/>
  <c r="K1364" i="2" s="1"/>
  <c r="H438" i="2"/>
  <c r="L1012" i="2"/>
  <c r="K1012" i="2"/>
  <c r="J1012" i="2"/>
  <c r="J998" i="2"/>
  <c r="L893" i="2"/>
  <c r="K821" i="2"/>
  <c r="L577" i="2"/>
  <c r="K577" i="2"/>
  <c r="J577" i="2"/>
  <c r="L147" i="2"/>
  <c r="K147" i="2"/>
  <c r="J147" i="2"/>
  <c r="L35" i="2"/>
  <c r="K35" i="2"/>
  <c r="J35" i="2"/>
  <c r="I1639" i="2"/>
  <c r="I1638" i="2"/>
  <c r="H1633" i="2"/>
  <c r="H1630" i="2" s="1"/>
  <c r="I1632" i="2"/>
  <c r="I1631" i="2"/>
  <c r="I1618" i="2"/>
  <c r="I1612" i="2"/>
  <c r="I1608" i="2"/>
  <c r="I1602" i="2"/>
  <c r="I1601" i="2"/>
  <c r="H1600" i="2"/>
  <c r="H1599" i="2" s="1"/>
  <c r="H1595" i="2"/>
  <c r="H1594" i="2" s="1"/>
  <c r="I1597" i="2"/>
  <c r="I1596" i="2"/>
  <c r="F1584" i="2"/>
  <c r="H1589" i="2"/>
  <c r="H1588" i="2"/>
  <c r="I1587" i="2"/>
  <c r="I1586" i="2"/>
  <c r="I1585" i="2"/>
  <c r="F1576" i="2"/>
  <c r="H1580" i="2"/>
  <c r="I1578" i="2"/>
  <c r="I1577" i="2"/>
  <c r="H1581" i="2"/>
  <c r="I1579" i="2"/>
  <c r="H1571" i="2"/>
  <c r="I1570" i="2"/>
  <c r="I1569" i="2"/>
  <c r="H1568" i="2"/>
  <c r="H1561" i="2"/>
  <c r="H1560" i="2"/>
  <c r="H1559" i="2"/>
  <c r="I1558" i="2"/>
  <c r="I1557" i="2"/>
  <c r="H1554" i="2"/>
  <c r="H1551" i="2" s="1"/>
  <c r="I1553" i="2"/>
  <c r="I1552" i="2"/>
  <c r="H1549" i="2"/>
  <c r="H1548" i="2"/>
  <c r="H1547" i="2"/>
  <c r="H1546" i="2"/>
  <c r="H1545" i="2"/>
  <c r="I1544" i="2"/>
  <c r="I1543" i="2"/>
  <c r="H1540" i="2"/>
  <c r="H1539" i="2"/>
  <c r="H1538" i="2"/>
  <c r="H1537" i="2"/>
  <c r="H1536" i="2"/>
  <c r="H1535" i="2"/>
  <c r="I1534" i="2"/>
  <c r="I1533" i="2"/>
  <c r="H1529" i="2"/>
  <c r="H1528" i="2"/>
  <c r="H1527" i="2"/>
  <c r="I1526" i="2"/>
  <c r="I1525" i="2"/>
  <c r="H1522" i="2"/>
  <c r="H1519" i="2" s="1"/>
  <c r="I1521" i="2"/>
  <c r="I1520" i="2"/>
  <c r="H1517" i="2"/>
  <c r="H1516" i="2"/>
  <c r="H1515" i="2"/>
  <c r="H1514" i="2"/>
  <c r="H1513" i="2"/>
  <c r="I1512" i="2"/>
  <c r="I1511" i="2"/>
  <c r="H1508" i="2"/>
  <c r="H1507" i="2"/>
  <c r="H1506" i="2"/>
  <c r="H1505" i="2"/>
  <c r="H1504" i="2"/>
  <c r="H1503" i="2"/>
  <c r="I1502" i="2"/>
  <c r="I1501" i="2"/>
  <c r="H1497" i="2"/>
  <c r="H1496" i="2"/>
  <c r="H1495" i="2"/>
  <c r="I1494" i="2"/>
  <c r="I1493" i="2"/>
  <c r="H1490" i="2"/>
  <c r="H1487" i="2" s="1"/>
  <c r="I1489" i="2"/>
  <c r="I1488" i="2"/>
  <c r="H1485" i="2"/>
  <c r="H1484" i="2"/>
  <c r="H1483" i="2"/>
  <c r="H1482" i="2"/>
  <c r="H1481" i="2"/>
  <c r="I1480" i="2"/>
  <c r="I1479" i="2"/>
  <c r="H1476" i="2"/>
  <c r="H1475" i="2"/>
  <c r="H1474" i="2"/>
  <c r="H1473" i="2"/>
  <c r="H1472" i="2"/>
  <c r="H1471" i="2"/>
  <c r="I1470" i="2"/>
  <c r="I1469" i="2"/>
  <c r="J1650" i="2" l="1"/>
  <c r="L1683" i="2"/>
  <c r="M1683" i="2" s="1"/>
  <c r="N1683" i="2" s="1"/>
  <c r="O1683" i="2" s="1"/>
  <c r="O1681" i="2" s="1"/>
  <c r="M1690" i="2"/>
  <c r="N1690" i="2" s="1"/>
  <c r="O1690" i="2" s="1"/>
  <c r="J1690" i="2"/>
  <c r="N1705" i="2"/>
  <c r="O1705" i="2" s="1"/>
  <c r="K1650" i="2"/>
  <c r="M1650" i="2" s="1"/>
  <c r="N1650" i="2" s="1"/>
  <c r="O1650" i="2" s="1"/>
  <c r="O1648" i="2" s="1"/>
  <c r="J1410" i="2"/>
  <c r="M1262" i="2"/>
  <c r="N1262" i="2" s="1"/>
  <c r="O1262" i="2" s="1"/>
  <c r="J1262" i="2"/>
  <c r="M1645" i="2"/>
  <c r="N1645" i="2" s="1"/>
  <c r="O1645" i="2" s="1"/>
  <c r="O1643" i="2" s="1"/>
  <c r="K1410" i="2"/>
  <c r="M1410" i="2" s="1"/>
  <c r="N1410" i="2" s="1"/>
  <c r="O1410" i="2" s="1"/>
  <c r="N1442" i="2"/>
  <c r="O1442" i="2" s="1"/>
  <c r="M35" i="2"/>
  <c r="N35" i="2" s="1"/>
  <c r="O35" i="2" s="1"/>
  <c r="J17" i="3" s="1"/>
  <c r="J1424" i="2"/>
  <c r="M1424" i="2"/>
  <c r="N1424" i="2" s="1"/>
  <c r="O1424" i="2" s="1"/>
  <c r="I1510" i="2"/>
  <c r="J896" i="2"/>
  <c r="M577" i="2"/>
  <c r="N577" i="2" s="1"/>
  <c r="O577" i="2" s="1"/>
  <c r="H1510" i="2"/>
  <c r="M1012" i="2"/>
  <c r="N1012" i="2" s="1"/>
  <c r="O1012" i="2" s="1"/>
  <c r="H1478" i="2"/>
  <c r="I1478" i="2"/>
  <c r="M147" i="2"/>
  <c r="N147" i="2" s="1"/>
  <c r="O147" i="2" s="1"/>
  <c r="I1637" i="2"/>
  <c r="I1519" i="2"/>
  <c r="J1519" i="2" s="1"/>
  <c r="H1567" i="2"/>
  <c r="I1599" i="2"/>
  <c r="J1599" i="2" s="1"/>
  <c r="I1594" i="2"/>
  <c r="J1594" i="2" s="1"/>
  <c r="I1630" i="2"/>
  <c r="J1630" i="2" s="1"/>
  <c r="I1487" i="2"/>
  <c r="J1487" i="2" s="1"/>
  <c r="I1524" i="2"/>
  <c r="I1576" i="2"/>
  <c r="L1576" i="2" s="1"/>
  <c r="I1584" i="2"/>
  <c r="L1584" i="2" s="1"/>
  <c r="H1584" i="2"/>
  <c r="I1556" i="2"/>
  <c r="H1576" i="2"/>
  <c r="I1567" i="2"/>
  <c r="I1551" i="2"/>
  <c r="J1551" i="2" s="1"/>
  <c r="I1542" i="2"/>
  <c r="I1492" i="2"/>
  <c r="I1532" i="2"/>
  <c r="H1532" i="2"/>
  <c r="H1542" i="2"/>
  <c r="H1556" i="2"/>
  <c r="I1500" i="2"/>
  <c r="H1500" i="2"/>
  <c r="H1524" i="2"/>
  <c r="H1468" i="2"/>
  <c r="I1468" i="2"/>
  <c r="H1492" i="2"/>
  <c r="I1450" i="2"/>
  <c r="I1449" i="2"/>
  <c r="H1405" i="2"/>
  <c r="H1404" i="2"/>
  <c r="I1403" i="2"/>
  <c r="H1402" i="2"/>
  <c r="H1401" i="2"/>
  <c r="I1400" i="2"/>
  <c r="I1399" i="2"/>
  <c r="H1396" i="2"/>
  <c r="H1393" i="2" s="1"/>
  <c r="I1395" i="2"/>
  <c r="I1394" i="2"/>
  <c r="H1391" i="2"/>
  <c r="H1390" i="2"/>
  <c r="I1389" i="2"/>
  <c r="I1388" i="2"/>
  <c r="I1382" i="2"/>
  <c r="I1380" i="2"/>
  <c r="I1370" i="2"/>
  <c r="I1369" i="2"/>
  <c r="I1366" i="2"/>
  <c r="I1365" i="2"/>
  <c r="I1361" i="2"/>
  <c r="I1357" i="2"/>
  <c r="I1356" i="2" s="1"/>
  <c r="I1353" i="2"/>
  <c r="I1349" i="2"/>
  <c r="I1339" i="2"/>
  <c r="I1314" i="2"/>
  <c r="I1338" i="2"/>
  <c r="I1313" i="2"/>
  <c r="H1308" i="2"/>
  <c r="H1305" i="2" s="1"/>
  <c r="I1307" i="2"/>
  <c r="I1306" i="2"/>
  <c r="H1301" i="2"/>
  <c r="H1300" i="2"/>
  <c r="I1299" i="2"/>
  <c r="I1298" i="2"/>
  <c r="H1293" i="2"/>
  <c r="H1292" i="2"/>
  <c r="H1291" i="2"/>
  <c r="H1290" i="2"/>
  <c r="I1289" i="2"/>
  <c r="I1288" i="2"/>
  <c r="H1286" i="2"/>
  <c r="H1285" i="2"/>
  <c r="H1284" i="2"/>
  <c r="H1283" i="2"/>
  <c r="I1282" i="2"/>
  <c r="I1281" i="2"/>
  <c r="H1278" i="2"/>
  <c r="H1277" i="2"/>
  <c r="H1276" i="2"/>
  <c r="H1275" i="2"/>
  <c r="I1274" i="2"/>
  <c r="I1273" i="2"/>
  <c r="I1251" i="2"/>
  <c r="D1243" i="2"/>
  <c r="H1245" i="2"/>
  <c r="H1244" i="2"/>
  <c r="H1243" i="2"/>
  <c r="I1242" i="2"/>
  <c r="I1241" i="2"/>
  <c r="H1228" i="2"/>
  <c r="H1227" i="2"/>
  <c r="H1226" i="2"/>
  <c r="D1226" i="2"/>
  <c r="I1225" i="2"/>
  <c r="I1224" i="2"/>
  <c r="H1205" i="2"/>
  <c r="H1204" i="2"/>
  <c r="I1203" i="2"/>
  <c r="I1202" i="2"/>
  <c r="I1201" i="2"/>
  <c r="I1196" i="2"/>
  <c r="I1197" i="2"/>
  <c r="I1195" i="2"/>
  <c r="H982" i="2"/>
  <c r="H1174" i="2"/>
  <c r="H1187" i="2"/>
  <c r="H1186" i="2"/>
  <c r="H1185" i="2"/>
  <c r="H1184" i="2"/>
  <c r="H1183" i="2"/>
  <c r="H1182" i="2"/>
  <c r="H1181" i="2"/>
  <c r="H1180" i="2"/>
  <c r="I1179" i="2"/>
  <c r="I1178" i="2"/>
  <c r="I1177" i="2"/>
  <c r="H1192" i="2"/>
  <c r="H1189" i="2" s="1"/>
  <c r="I1191" i="2"/>
  <c r="I1190" i="2"/>
  <c r="H1173" i="2"/>
  <c r="H1172" i="2"/>
  <c r="H1171" i="2"/>
  <c r="H1170" i="2"/>
  <c r="H1169" i="2"/>
  <c r="H1168" i="2"/>
  <c r="H1167" i="2"/>
  <c r="I1166" i="2"/>
  <c r="I1165" i="2"/>
  <c r="I1164" i="2"/>
  <c r="I1154" i="2"/>
  <c r="I1153" i="2"/>
  <c r="H1150" i="2"/>
  <c r="H1149" i="2" s="1"/>
  <c r="J1149" i="2" s="1"/>
  <c r="D1150" i="2"/>
  <c r="H1147" i="2"/>
  <c r="H1146" i="2" s="1"/>
  <c r="J1146" i="2" s="1"/>
  <c r="D1147" i="2"/>
  <c r="H1140" i="2"/>
  <c r="H1139" i="2"/>
  <c r="H1138" i="2"/>
  <c r="I1137" i="2"/>
  <c r="I1136" i="2"/>
  <c r="H1133" i="2"/>
  <c r="H1130" i="2" s="1"/>
  <c r="I1132" i="2"/>
  <c r="I1131" i="2"/>
  <c r="H1128" i="2"/>
  <c r="H1127" i="2"/>
  <c r="H1126" i="2"/>
  <c r="H1125" i="2"/>
  <c r="H1124" i="2"/>
  <c r="I1123" i="2"/>
  <c r="I1122" i="2"/>
  <c r="H1119" i="2"/>
  <c r="H1118" i="2"/>
  <c r="H1117" i="2"/>
  <c r="H1116" i="2"/>
  <c r="H1115" i="2"/>
  <c r="H1114" i="2"/>
  <c r="I1113" i="2"/>
  <c r="I1112" i="2"/>
  <c r="H1094" i="2"/>
  <c r="I1095" i="2"/>
  <c r="I1094" i="2" s="1"/>
  <c r="H1090" i="2"/>
  <c r="I1092" i="2"/>
  <c r="I1091" i="2"/>
  <c r="H1074" i="2"/>
  <c r="H1071" i="2" s="1"/>
  <c r="I1073" i="2"/>
  <c r="I1072" i="2"/>
  <c r="F1076" i="2"/>
  <c r="H1083" i="2"/>
  <c r="H1082" i="2"/>
  <c r="I1081" i="2"/>
  <c r="H1080" i="2"/>
  <c r="H1079" i="2"/>
  <c r="I1078" i="2"/>
  <c r="I1077" i="2"/>
  <c r="H1069" i="2"/>
  <c r="H1066" i="2" s="1"/>
  <c r="I1068" i="2"/>
  <c r="I1067" i="2"/>
  <c r="H1064" i="2"/>
  <c r="H1063" i="2"/>
  <c r="I1062" i="2"/>
  <c r="I1061" i="2"/>
  <c r="H1056" i="2"/>
  <c r="H1054" i="2" s="1"/>
  <c r="D1056" i="2"/>
  <c r="I1055" i="2"/>
  <c r="I1054" i="2" s="1"/>
  <c r="L1054" i="2" s="1"/>
  <c r="H1052" i="2"/>
  <c r="H1050" i="2" s="1"/>
  <c r="D1052" i="2"/>
  <c r="I1051" i="2"/>
  <c r="I1050" i="2" s="1"/>
  <c r="L1050" i="2" s="1"/>
  <c r="H1048" i="2"/>
  <c r="H1047" i="2"/>
  <c r="I1046" i="2"/>
  <c r="I1045" i="2"/>
  <c r="H1040" i="2"/>
  <c r="H1039" i="2"/>
  <c r="I1038" i="2"/>
  <c r="I1037" i="2"/>
  <c r="H1032" i="2"/>
  <c r="H1031" i="2"/>
  <c r="H1030" i="2"/>
  <c r="H1029" i="2"/>
  <c r="I1028" i="2"/>
  <c r="I1027" i="2"/>
  <c r="H1024" i="2"/>
  <c r="H1023" i="2"/>
  <c r="H1022" i="2"/>
  <c r="H1021" i="2"/>
  <c r="I1020" i="2"/>
  <c r="I1019" i="2"/>
  <c r="D1007" i="2"/>
  <c r="H1009" i="2"/>
  <c r="H1008" i="2"/>
  <c r="H1007" i="2"/>
  <c r="I1006" i="2"/>
  <c r="I1005" i="2"/>
  <c r="H987" i="2"/>
  <c r="H984" i="2" s="1"/>
  <c r="I986" i="2"/>
  <c r="I985" i="2"/>
  <c r="H977" i="2"/>
  <c r="H980" i="2"/>
  <c r="H979" i="2"/>
  <c r="H978" i="2"/>
  <c r="H981" i="2"/>
  <c r="H976" i="2"/>
  <c r="H975" i="2"/>
  <c r="I974" i="2"/>
  <c r="I973" i="2"/>
  <c r="I972" i="2"/>
  <c r="H965" i="2"/>
  <c r="H964" i="2" s="1"/>
  <c r="J964" i="2" s="1"/>
  <c r="D965" i="2"/>
  <c r="I955" i="2"/>
  <c r="I954" i="2"/>
  <c r="H953" i="2"/>
  <c r="H940" i="2"/>
  <c r="H949" i="2"/>
  <c r="I951" i="2"/>
  <c r="I950" i="2"/>
  <c r="I942" i="2"/>
  <c r="I941" i="2"/>
  <c r="H935" i="2"/>
  <c r="H934" i="2"/>
  <c r="I933" i="2"/>
  <c r="H932" i="2"/>
  <c r="H931" i="2"/>
  <c r="I930" i="2"/>
  <c r="I929" i="2"/>
  <c r="H926" i="2"/>
  <c r="H925" i="2"/>
  <c r="I924" i="2"/>
  <c r="H923" i="2"/>
  <c r="H922" i="2"/>
  <c r="I921" i="2"/>
  <c r="I920" i="2"/>
  <c r="H916" i="2"/>
  <c r="H913" i="2" s="1"/>
  <c r="I915" i="2"/>
  <c r="I914" i="2"/>
  <c r="H911" i="2"/>
  <c r="H908" i="2" s="1"/>
  <c r="I910" i="2"/>
  <c r="I909" i="2"/>
  <c r="H906" i="2"/>
  <c r="H905" i="2"/>
  <c r="I904" i="2"/>
  <c r="I903" i="2"/>
  <c r="I860" i="2"/>
  <c r="J1492" i="2" l="1"/>
  <c r="O1688" i="2"/>
  <c r="I1189" i="2"/>
  <c r="L1189" i="2" s="1"/>
  <c r="J1532" i="2"/>
  <c r="J1567" i="2"/>
  <c r="I984" i="2"/>
  <c r="L984" i="2" s="1"/>
  <c r="I1240" i="2"/>
  <c r="O1407" i="2"/>
  <c r="J74" i="3" s="1"/>
  <c r="H74" i="3" s="1"/>
  <c r="J1094" i="2"/>
  <c r="J1478" i="2"/>
  <c r="K940" i="2"/>
  <c r="J1468" i="2"/>
  <c r="J1542" i="2"/>
  <c r="J1576" i="2"/>
  <c r="K1576" i="2"/>
  <c r="M1576" i="2" s="1"/>
  <c r="N1576" i="2" s="1"/>
  <c r="O1576" i="2" s="1"/>
  <c r="J1050" i="2"/>
  <c r="K1050" i="2"/>
  <c r="M1050" i="2" s="1"/>
  <c r="N1050" i="2" s="1"/>
  <c r="O1050" i="2" s="1"/>
  <c r="J1500" i="2"/>
  <c r="K984" i="2"/>
  <c r="J1054" i="2"/>
  <c r="K1054" i="2"/>
  <c r="M1054" i="2" s="1"/>
  <c r="N1054" i="2" s="1"/>
  <c r="O1054" i="2" s="1"/>
  <c r="K1071" i="2"/>
  <c r="H1240" i="2"/>
  <c r="J1510" i="2"/>
  <c r="J1556" i="2"/>
  <c r="L1637" i="2"/>
  <c r="M1637" i="2" s="1"/>
  <c r="N1637" i="2" s="1"/>
  <c r="O1637" i="2" s="1"/>
  <c r="O1635" i="2" s="1"/>
  <c r="J87" i="3" s="1"/>
  <c r="H87" i="3" s="1"/>
  <c r="J1637" i="2"/>
  <c r="K953" i="2"/>
  <c r="K1189" i="2"/>
  <c r="J1524" i="2"/>
  <c r="J1584" i="2"/>
  <c r="K1584" i="2"/>
  <c r="M1584" i="2" s="1"/>
  <c r="N1584" i="2" s="1"/>
  <c r="O1584" i="2" s="1"/>
  <c r="H1398" i="2"/>
  <c r="H1387" i="2"/>
  <c r="I1387" i="2"/>
  <c r="I1393" i="2"/>
  <c r="J1393" i="2" s="1"/>
  <c r="I1398" i="2"/>
  <c r="I1305" i="2"/>
  <c r="J1305" i="2" s="1"/>
  <c r="I1297" i="2"/>
  <c r="H1297" i="2"/>
  <c r="I1223" i="2"/>
  <c r="H1223" i="2"/>
  <c r="I1194" i="2"/>
  <c r="L1194" i="2" s="1"/>
  <c r="H1200" i="2"/>
  <c r="I1200" i="2"/>
  <c r="I1176" i="2"/>
  <c r="H1176" i="2"/>
  <c r="I1135" i="2"/>
  <c r="I1163" i="2"/>
  <c r="L1163" i="2" s="1"/>
  <c r="H1163" i="2"/>
  <c r="I1111" i="2"/>
  <c r="I1121" i="2"/>
  <c r="H1111" i="2"/>
  <c r="I1090" i="2"/>
  <c r="J1090" i="2" s="1"/>
  <c r="I1130" i="2"/>
  <c r="J1130" i="2" s="1"/>
  <c r="H1121" i="2"/>
  <c r="H1135" i="2"/>
  <c r="I1071" i="2"/>
  <c r="L1071" i="2" s="1"/>
  <c r="I1076" i="2"/>
  <c r="L1076" i="2" s="1"/>
  <c r="H1044" i="2"/>
  <c r="H1060" i="2"/>
  <c r="I1060" i="2"/>
  <c r="I1066" i="2"/>
  <c r="J1066" i="2" s="1"/>
  <c r="H1076" i="2"/>
  <c r="I1026" i="2"/>
  <c r="L1026" i="2" s="1"/>
  <c r="H1036" i="2"/>
  <c r="I1044" i="2"/>
  <c r="L1044" i="2" s="1"/>
  <c r="I1018" i="2"/>
  <c r="L1018" i="2" s="1"/>
  <c r="I1036" i="2"/>
  <c r="L1036" i="2" s="1"/>
  <c r="H1026" i="2"/>
  <c r="H1018" i="2"/>
  <c r="H1004" i="2"/>
  <c r="I1004" i="2"/>
  <c r="L1004" i="2" s="1"/>
  <c r="I971" i="2"/>
  <c r="L971" i="2" s="1"/>
  <c r="I949" i="2"/>
  <c r="J949" i="2" s="1"/>
  <c r="I953" i="2"/>
  <c r="L953" i="2" s="1"/>
  <c r="H971" i="2"/>
  <c r="H919" i="2"/>
  <c r="I928" i="2"/>
  <c r="I913" i="2"/>
  <c r="I919" i="2"/>
  <c r="I902" i="2"/>
  <c r="H928" i="2"/>
  <c r="H902" i="2"/>
  <c r="I908" i="2"/>
  <c r="I859" i="2"/>
  <c r="I856" i="2"/>
  <c r="I855" i="2"/>
  <c r="H848" i="2"/>
  <c r="D848" i="2"/>
  <c r="I847" i="2"/>
  <c r="H844" i="2"/>
  <c r="H843" i="2"/>
  <c r="H842" i="2"/>
  <c r="D842" i="2"/>
  <c r="I841" i="2"/>
  <c r="I840" i="2"/>
  <c r="H837" i="2"/>
  <c r="I836" i="2"/>
  <c r="I835" i="2"/>
  <c r="I831" i="2"/>
  <c r="I830" i="2"/>
  <c r="H827" i="2"/>
  <c r="I826" i="2"/>
  <c r="I825" i="2"/>
  <c r="J928" i="2" l="1"/>
  <c r="M984" i="2"/>
  <c r="N984" i="2" s="1"/>
  <c r="O984" i="2" s="1"/>
  <c r="J1189" i="2"/>
  <c r="M1189" i="2"/>
  <c r="N1189" i="2" s="1"/>
  <c r="O1189" i="2" s="1"/>
  <c r="J1240" i="2"/>
  <c r="J984" i="2"/>
  <c r="J919" i="2"/>
  <c r="J1176" i="2"/>
  <c r="J902" i="2"/>
  <c r="J1076" i="2"/>
  <c r="J1223" i="2"/>
  <c r="J1398" i="2"/>
  <c r="J1071" i="2"/>
  <c r="J908" i="2"/>
  <c r="J1044" i="2"/>
  <c r="K1044" i="2"/>
  <c r="M1044" i="2" s="1"/>
  <c r="N1044" i="2" s="1"/>
  <c r="O1044" i="2" s="1"/>
  <c r="J1121" i="2"/>
  <c r="M953" i="2"/>
  <c r="N953" i="2" s="1"/>
  <c r="O953" i="2" s="1"/>
  <c r="J913" i="2"/>
  <c r="K1018" i="2"/>
  <c r="M1018" i="2" s="1"/>
  <c r="N1018" i="2" s="1"/>
  <c r="O1018" i="2" s="1"/>
  <c r="J1018" i="2"/>
  <c r="J1026" i="2"/>
  <c r="K1026" i="2"/>
  <c r="M1026" i="2" s="1"/>
  <c r="N1026" i="2" s="1"/>
  <c r="O1026" i="2" s="1"/>
  <c r="J971" i="2"/>
  <c r="K971" i="2"/>
  <c r="M971" i="2" s="1"/>
  <c r="N971" i="2" s="1"/>
  <c r="O971" i="2" s="1"/>
  <c r="J1060" i="2"/>
  <c r="J1135" i="2"/>
  <c r="J1111" i="2"/>
  <c r="J953" i="2"/>
  <c r="K1004" i="2"/>
  <c r="M1004" i="2" s="1"/>
  <c r="N1004" i="2" s="1"/>
  <c r="O1004" i="2" s="1"/>
  <c r="J1004" i="2"/>
  <c r="K1036" i="2"/>
  <c r="M1036" i="2" s="1"/>
  <c r="J1036" i="2"/>
  <c r="J1163" i="2"/>
  <c r="K1163" i="2"/>
  <c r="M1163" i="2" s="1"/>
  <c r="N1163" i="2" s="1"/>
  <c r="O1163" i="2" s="1"/>
  <c r="J1200" i="2"/>
  <c r="J1297" i="2"/>
  <c r="J1387" i="2"/>
  <c r="M1071" i="2"/>
  <c r="N1071" i="2" s="1"/>
  <c r="O1071" i="2" s="1"/>
  <c r="K1076" i="2"/>
  <c r="M1076" i="2" s="1"/>
  <c r="N1076" i="2" s="1"/>
  <c r="O1076" i="2" s="1"/>
  <c r="I822" i="2"/>
  <c r="I818" i="2"/>
  <c r="H815" i="2"/>
  <c r="D815" i="2"/>
  <c r="I814" i="2"/>
  <c r="H811" i="2"/>
  <c r="D811" i="2"/>
  <c r="I810" i="2"/>
  <c r="H807" i="2"/>
  <c r="D807" i="2"/>
  <c r="I806" i="2"/>
  <c r="I792" i="2"/>
  <c r="I791" i="2"/>
  <c r="G788" i="2"/>
  <c r="H788" i="2" s="1"/>
  <c r="H787" i="2"/>
  <c r="H786" i="2"/>
  <c r="I785" i="2"/>
  <c r="I784" i="2"/>
  <c r="I774" i="2"/>
  <c r="I773" i="2"/>
  <c r="I766" i="2"/>
  <c r="I765" i="2"/>
  <c r="I753" i="2"/>
  <c r="I752" i="2"/>
  <c r="H747" i="2"/>
  <c r="H744" i="2" s="1"/>
  <c r="I746" i="2"/>
  <c r="I745" i="2"/>
  <c r="H739" i="2"/>
  <c r="H738" i="2"/>
  <c r="I737" i="2"/>
  <c r="I736" i="2"/>
  <c r="H733" i="2"/>
  <c r="H732" i="2"/>
  <c r="I731" i="2"/>
  <c r="I730" i="2"/>
  <c r="I721" i="2"/>
  <c r="I720" i="2"/>
  <c r="I714" i="2"/>
  <c r="I713" i="2"/>
  <c r="I706" i="2"/>
  <c r="I705" i="2"/>
  <c r="I698" i="2"/>
  <c r="I697" i="2"/>
  <c r="H692" i="2"/>
  <c r="H691" i="2"/>
  <c r="H690" i="2"/>
  <c r="H689" i="2"/>
  <c r="I688" i="2"/>
  <c r="I687" i="2"/>
  <c r="I675" i="2"/>
  <c r="H670" i="2"/>
  <c r="H669" i="2"/>
  <c r="H668" i="2"/>
  <c r="I667" i="2"/>
  <c r="I666" i="2"/>
  <c r="H663" i="2"/>
  <c r="H662" i="2"/>
  <c r="H661" i="2"/>
  <c r="I660" i="2"/>
  <c r="I659" i="2" s="1"/>
  <c r="H649" i="2"/>
  <c r="H648" i="2"/>
  <c r="H647" i="2"/>
  <c r="I646" i="2"/>
  <c r="I645" i="2"/>
  <c r="H642" i="2"/>
  <c r="H641" i="2"/>
  <c r="H640" i="2"/>
  <c r="I639" i="2"/>
  <c r="I638" i="2" s="1"/>
  <c r="F623" i="2"/>
  <c r="H634" i="2"/>
  <c r="H631" i="2" s="1"/>
  <c r="I633" i="2"/>
  <c r="I632" i="2"/>
  <c r="H629" i="2"/>
  <c r="H628" i="2"/>
  <c r="H627" i="2"/>
  <c r="I626" i="2"/>
  <c r="I625" i="2"/>
  <c r="I624" i="2"/>
  <c r="F610" i="2"/>
  <c r="H621" i="2"/>
  <c r="H620" i="2"/>
  <c r="H619" i="2"/>
  <c r="H618" i="2"/>
  <c r="H617" i="2"/>
  <c r="H616" i="2"/>
  <c r="H615" i="2"/>
  <c r="H614" i="2"/>
  <c r="I613" i="2"/>
  <c r="I612" i="2"/>
  <c r="I611" i="2"/>
  <c r="F596" i="2"/>
  <c r="H608" i="2"/>
  <c r="H607" i="2"/>
  <c r="H606" i="2"/>
  <c r="H605" i="2"/>
  <c r="H604" i="2"/>
  <c r="H603" i="2"/>
  <c r="H602" i="2"/>
  <c r="H601" i="2"/>
  <c r="H600" i="2"/>
  <c r="I599" i="2"/>
  <c r="I598" i="2"/>
  <c r="I597" i="2"/>
  <c r="H593" i="2"/>
  <c r="F583" i="2"/>
  <c r="H594" i="2"/>
  <c r="H592" i="2"/>
  <c r="H591" i="2"/>
  <c r="H590" i="2"/>
  <c r="H589" i="2"/>
  <c r="H588" i="2"/>
  <c r="H587" i="2"/>
  <c r="I586" i="2"/>
  <c r="I585" i="2"/>
  <c r="I584" i="2"/>
  <c r="H575" i="2"/>
  <c r="D575" i="2"/>
  <c r="H572" i="2"/>
  <c r="D572" i="2"/>
  <c r="H558" i="2"/>
  <c r="H555" i="2" s="1"/>
  <c r="I557" i="2"/>
  <c r="I556" i="2"/>
  <c r="H565" i="2"/>
  <c r="H564" i="2"/>
  <c r="H563" i="2"/>
  <c r="I562" i="2"/>
  <c r="I561" i="2"/>
  <c r="H553" i="2"/>
  <c r="H552" i="2"/>
  <c r="H551" i="2"/>
  <c r="H550" i="2"/>
  <c r="H549" i="2"/>
  <c r="I548" i="2"/>
  <c r="I547" i="2"/>
  <c r="H544" i="2"/>
  <c r="H543" i="2"/>
  <c r="H542" i="2"/>
  <c r="H541" i="2"/>
  <c r="H540" i="2"/>
  <c r="H539" i="2"/>
  <c r="I538" i="2"/>
  <c r="I537" i="2"/>
  <c r="H528" i="2"/>
  <c r="H525" i="2"/>
  <c r="H522" i="2"/>
  <c r="H519" i="2"/>
  <c r="H516" i="2"/>
  <c r="H513" i="2"/>
  <c r="H510" i="2"/>
  <c r="H506" i="2"/>
  <c r="H503" i="2"/>
  <c r="H499" i="2"/>
  <c r="I523" i="2"/>
  <c r="I522" i="2" s="1"/>
  <c r="I520" i="2"/>
  <c r="I519" i="2" s="1"/>
  <c r="L519" i="2" s="1"/>
  <c r="I517" i="2"/>
  <c r="I516" i="2" s="1"/>
  <c r="I514" i="2"/>
  <c r="I513" i="2" s="1"/>
  <c r="I511" i="2"/>
  <c r="I510" i="2" s="1"/>
  <c r="I508" i="2"/>
  <c r="I507" i="2"/>
  <c r="I504" i="2"/>
  <c r="I503" i="2" s="1"/>
  <c r="I501" i="2"/>
  <c r="I500" i="2"/>
  <c r="H98" i="2"/>
  <c r="I100" i="2"/>
  <c r="I99" i="2"/>
  <c r="I456" i="2"/>
  <c r="I450" i="2"/>
  <c r="I449" i="2"/>
  <c r="I445" i="2"/>
  <c r="I444" i="2"/>
  <c r="I440" i="2"/>
  <c r="I439" i="2"/>
  <c r="I435" i="2"/>
  <c r="I434" i="2"/>
  <c r="I429" i="2"/>
  <c r="I428" i="2"/>
  <c r="I423" i="2"/>
  <c r="I419" i="2"/>
  <c r="I415" i="2"/>
  <c r="I411" i="2"/>
  <c r="I397" i="2"/>
  <c r="I396" i="2"/>
  <c r="I390" i="2"/>
  <c r="I389" i="2"/>
  <c r="I379" i="2"/>
  <c r="I378" i="2"/>
  <c r="I371" i="2"/>
  <c r="I370" i="2"/>
  <c r="I358" i="2"/>
  <c r="I357" i="2"/>
  <c r="I350" i="2"/>
  <c r="I349" i="2"/>
  <c r="H346" i="2"/>
  <c r="H343" i="2" s="1"/>
  <c r="I345" i="2"/>
  <c r="I344" i="2"/>
  <c r="H339" i="2"/>
  <c r="H338" i="2"/>
  <c r="I337" i="2"/>
  <c r="I336" i="2"/>
  <c r="H333" i="2"/>
  <c r="H332" i="2"/>
  <c r="I331" i="2"/>
  <c r="I330" i="2"/>
  <c r="I321" i="2"/>
  <c r="I320" i="2"/>
  <c r="I313" i="2"/>
  <c r="I312" i="2"/>
  <c r="I305" i="2"/>
  <c r="I304" i="2"/>
  <c r="I273" i="2"/>
  <c r="I272" i="2" s="1"/>
  <c r="I247" i="2"/>
  <c r="I246" i="2" s="1"/>
  <c r="H490" i="2"/>
  <c r="I492" i="2"/>
  <c r="I491" i="2"/>
  <c r="H485" i="2"/>
  <c r="H484" i="2"/>
  <c r="I483" i="2"/>
  <c r="H482" i="2"/>
  <c r="H481" i="2"/>
  <c r="I480" i="2"/>
  <c r="I479" i="2"/>
  <c r="H475" i="2"/>
  <c r="H472" i="2" s="1"/>
  <c r="I474" i="2"/>
  <c r="I473" i="2"/>
  <c r="H470" i="2"/>
  <c r="H467" i="2" s="1"/>
  <c r="I469" i="2"/>
  <c r="I468" i="2"/>
  <c r="H465" i="2"/>
  <c r="H464" i="2"/>
  <c r="I463" i="2"/>
  <c r="I462" i="2"/>
  <c r="H270" i="2"/>
  <c r="H267" i="2"/>
  <c r="I269" i="2"/>
  <c r="I268" i="2"/>
  <c r="H283" i="2"/>
  <c r="H282" i="2"/>
  <c r="H281" i="2"/>
  <c r="I280" i="2"/>
  <c r="I279" i="2"/>
  <c r="H257" i="2"/>
  <c r="H256" i="2"/>
  <c r="H255" i="2"/>
  <c r="I254" i="2"/>
  <c r="I253" i="2"/>
  <c r="H225" i="2"/>
  <c r="H224" i="2"/>
  <c r="H223" i="2"/>
  <c r="I222" i="2"/>
  <c r="I221" i="2"/>
  <c r="I220" i="2"/>
  <c r="H217" i="2"/>
  <c r="H216" i="2"/>
  <c r="H215" i="2"/>
  <c r="H214" i="2"/>
  <c r="H213" i="2"/>
  <c r="H212" i="2"/>
  <c r="H211" i="2"/>
  <c r="H210" i="2"/>
  <c r="I209" i="2"/>
  <c r="I208" i="2"/>
  <c r="I207" i="2"/>
  <c r="H203" i="2"/>
  <c r="H204" i="2"/>
  <c r="H202" i="2"/>
  <c r="H201" i="2"/>
  <c r="H200" i="2"/>
  <c r="H199" i="2"/>
  <c r="H198" i="2"/>
  <c r="H197" i="2"/>
  <c r="I196" i="2"/>
  <c r="I195" i="2"/>
  <c r="I194" i="2"/>
  <c r="H191" i="2"/>
  <c r="H190" i="2"/>
  <c r="H189" i="2"/>
  <c r="H188" i="2"/>
  <c r="H187" i="2"/>
  <c r="H186" i="2"/>
  <c r="H185" i="2"/>
  <c r="H184" i="2"/>
  <c r="I183" i="2"/>
  <c r="I182" i="2"/>
  <c r="I181" i="2"/>
  <c r="H178" i="2"/>
  <c r="H177" i="2"/>
  <c r="H176" i="2"/>
  <c r="H175" i="2"/>
  <c r="H174" i="2"/>
  <c r="H173" i="2"/>
  <c r="H172" i="2"/>
  <c r="H171" i="2"/>
  <c r="H170" i="2"/>
  <c r="I169" i="2"/>
  <c r="I168" i="2"/>
  <c r="I167" i="2"/>
  <c r="O967" i="2" l="1"/>
  <c r="J503" i="2"/>
  <c r="H638" i="2"/>
  <c r="J638" i="2" s="1"/>
  <c r="N1036" i="2"/>
  <c r="O1036" i="2" s="1"/>
  <c r="J516" i="2"/>
  <c r="J519" i="2"/>
  <c r="K519" i="2"/>
  <c r="M519" i="2" s="1"/>
  <c r="K744" i="2"/>
  <c r="K343" i="2"/>
  <c r="J510" i="2"/>
  <c r="J522" i="2"/>
  <c r="H659" i="2"/>
  <c r="J659" i="2" s="1"/>
  <c r="K490" i="2"/>
  <c r="I348" i="2"/>
  <c r="L348" i="2" s="1"/>
  <c r="I438" i="2"/>
  <c r="J438" i="2" s="1"/>
  <c r="J513" i="2"/>
  <c r="I631" i="2"/>
  <c r="I744" i="2"/>
  <c r="L744" i="2" s="1"/>
  <c r="I686" i="2"/>
  <c r="L686" i="2" s="1"/>
  <c r="H729" i="2"/>
  <c r="H735" i="2"/>
  <c r="I665" i="2"/>
  <c r="I729" i="2"/>
  <c r="I735" i="2"/>
  <c r="H686" i="2"/>
  <c r="H665" i="2"/>
  <c r="J665" i="2" s="1"/>
  <c r="I644" i="2"/>
  <c r="H644" i="2"/>
  <c r="F631" i="2"/>
  <c r="H623" i="2"/>
  <c r="I610" i="2"/>
  <c r="L610" i="2" s="1"/>
  <c r="I623" i="2"/>
  <c r="L623" i="2" s="1"/>
  <c r="H596" i="2"/>
  <c r="H610" i="2"/>
  <c r="I583" i="2"/>
  <c r="L583" i="2" s="1"/>
  <c r="I596" i="2"/>
  <c r="L596" i="2" s="1"/>
  <c r="I499" i="2"/>
  <c r="J499" i="2" s="1"/>
  <c r="I335" i="2"/>
  <c r="I506" i="2"/>
  <c r="J506" i="2" s="1"/>
  <c r="H583" i="2"/>
  <c r="I546" i="2"/>
  <c r="H546" i="2"/>
  <c r="H560" i="2"/>
  <c r="I560" i="2"/>
  <c r="H536" i="2"/>
  <c r="I536" i="2"/>
  <c r="I555" i="2"/>
  <c r="J555" i="2" s="1"/>
  <c r="I98" i="2"/>
  <c r="J98" i="2" s="1"/>
  <c r="I278" i="2"/>
  <c r="I472" i="2"/>
  <c r="J472" i="2" s="1"/>
  <c r="I266" i="2"/>
  <c r="I343" i="2"/>
  <c r="L343" i="2" s="1"/>
  <c r="H266" i="2"/>
  <c r="H329" i="2"/>
  <c r="H335" i="2"/>
  <c r="H478" i="2"/>
  <c r="I329" i="2"/>
  <c r="I490" i="2"/>
  <c r="L490" i="2" s="1"/>
  <c r="H461" i="2"/>
  <c r="I478" i="2"/>
  <c r="I461" i="2"/>
  <c r="I467" i="2"/>
  <c r="J467" i="2" s="1"/>
  <c r="H278" i="2"/>
  <c r="I252" i="2"/>
  <c r="I206" i="2"/>
  <c r="I219" i="2"/>
  <c r="H219" i="2"/>
  <c r="H252" i="2"/>
  <c r="J252" i="2" s="1"/>
  <c r="I180" i="2"/>
  <c r="I166" i="2"/>
  <c r="H206" i="2"/>
  <c r="I193" i="2"/>
  <c r="H180" i="2"/>
  <c r="J180" i="2" s="1"/>
  <c r="H193" i="2"/>
  <c r="H166" i="2"/>
  <c r="I228" i="2"/>
  <c r="H230" i="2"/>
  <c r="H227" i="2" s="1"/>
  <c r="I229" i="2"/>
  <c r="I155" i="2"/>
  <c r="I156" i="2"/>
  <c r="H158" i="2"/>
  <c r="H163" i="2"/>
  <c r="H160" i="2"/>
  <c r="H161" i="2"/>
  <c r="H162" i="2"/>
  <c r="H159" i="2"/>
  <c r="H164" i="2"/>
  <c r="H157" i="2"/>
  <c r="I154" i="2"/>
  <c r="M744" i="2" l="1"/>
  <c r="N744" i="2" s="1"/>
  <c r="O744" i="2" s="1"/>
  <c r="J560" i="2"/>
  <c r="J193" i="2"/>
  <c r="J329" i="2"/>
  <c r="J546" i="2"/>
  <c r="J623" i="2"/>
  <c r="O1641" i="2"/>
  <c r="J596" i="2"/>
  <c r="J735" i="2"/>
  <c r="M490" i="2"/>
  <c r="N490" i="2" s="1"/>
  <c r="O490" i="2" s="1"/>
  <c r="K596" i="2"/>
  <c r="M596" i="2" s="1"/>
  <c r="N596" i="2" s="1"/>
  <c r="O596" i="2" s="1"/>
  <c r="J166" i="2"/>
  <c r="J206" i="2"/>
  <c r="J219" i="2"/>
  <c r="J278" i="2"/>
  <c r="J461" i="2"/>
  <c r="J335" i="2"/>
  <c r="M343" i="2"/>
  <c r="N343" i="2" s="1"/>
  <c r="O343" i="2" s="1"/>
  <c r="N519" i="2"/>
  <c r="O519" i="2" s="1"/>
  <c r="I227" i="2"/>
  <c r="J227" i="2" s="1"/>
  <c r="J478" i="2"/>
  <c r="J583" i="2"/>
  <c r="J644" i="2"/>
  <c r="J729" i="2"/>
  <c r="J490" i="2"/>
  <c r="K583" i="2"/>
  <c r="M583" i="2" s="1"/>
  <c r="N583" i="2" s="1"/>
  <c r="O583" i="2" s="1"/>
  <c r="J343" i="2"/>
  <c r="J744" i="2"/>
  <c r="J610" i="2"/>
  <c r="K623" i="2"/>
  <c r="M623" i="2" s="1"/>
  <c r="N623" i="2" s="1"/>
  <c r="O623" i="2" s="1"/>
  <c r="K610" i="2"/>
  <c r="M610" i="2" s="1"/>
  <c r="N610" i="2" s="1"/>
  <c r="O610" i="2" s="1"/>
  <c r="J266" i="2"/>
  <c r="L631" i="2"/>
  <c r="J686" i="2"/>
  <c r="K686" i="2"/>
  <c r="M686" i="2" s="1"/>
  <c r="J536" i="2"/>
  <c r="I153" i="2"/>
  <c r="L153" i="2" s="1"/>
  <c r="H153" i="2"/>
  <c r="H134" i="2"/>
  <c r="H135" i="2"/>
  <c r="H133" i="2"/>
  <c r="I132" i="2"/>
  <c r="I131" i="2"/>
  <c r="I126" i="2"/>
  <c r="H128" i="2"/>
  <c r="H125" i="2" s="1"/>
  <c r="I127" i="2"/>
  <c r="H123" i="2"/>
  <c r="H122" i="2"/>
  <c r="H121" i="2"/>
  <c r="H120" i="2"/>
  <c r="H119" i="2"/>
  <c r="I118" i="2"/>
  <c r="I117" i="2"/>
  <c r="H109" i="2"/>
  <c r="H110" i="2"/>
  <c r="I107" i="2"/>
  <c r="H114" i="2"/>
  <c r="H113" i="2"/>
  <c r="H112" i="2"/>
  <c r="H111" i="2"/>
  <c r="I108" i="2"/>
  <c r="H89" i="2"/>
  <c r="I90" i="2"/>
  <c r="I89" i="2" s="1"/>
  <c r="H86" i="2"/>
  <c r="H83" i="2"/>
  <c r="H80" i="2"/>
  <c r="I87" i="2"/>
  <c r="I86" i="2" s="1"/>
  <c r="L86" i="2" s="1"/>
  <c r="I84" i="2"/>
  <c r="I83" i="2" s="1"/>
  <c r="I81" i="2"/>
  <c r="I80" i="2" s="1"/>
  <c r="H77" i="2"/>
  <c r="I78" i="2"/>
  <c r="I77" i="2" s="1"/>
  <c r="H73" i="2"/>
  <c r="I75" i="2"/>
  <c r="I74" i="2"/>
  <c r="H69" i="2"/>
  <c r="H66" i="2"/>
  <c r="I71" i="2"/>
  <c r="I70" i="2"/>
  <c r="I67" i="2"/>
  <c r="I66" i="2" s="1"/>
  <c r="H62" i="2"/>
  <c r="I63" i="2"/>
  <c r="H56" i="2"/>
  <c r="H54" i="2" s="1"/>
  <c r="I64" i="2"/>
  <c r="I55" i="2"/>
  <c r="I47" i="2"/>
  <c r="H52" i="2"/>
  <c r="H51" i="2"/>
  <c r="H50" i="2"/>
  <c r="H49" i="2"/>
  <c r="H48" i="2"/>
  <c r="I46" i="2"/>
  <c r="I45" i="2"/>
  <c r="H42" i="2"/>
  <c r="H39" i="2" s="1"/>
  <c r="I40" i="2"/>
  <c r="I39" i="2" s="1"/>
  <c r="L39" i="2" s="1"/>
  <c r="H33" i="2"/>
  <c r="H30" i="2" s="1"/>
  <c r="I32" i="2"/>
  <c r="I31" i="2"/>
  <c r="H23" i="2"/>
  <c r="H24" i="2"/>
  <c r="H25" i="2"/>
  <c r="H22" i="2"/>
  <c r="H19" i="2"/>
  <c r="I21" i="2"/>
  <c r="I20" i="2"/>
  <c r="B40" i="1"/>
  <c r="A40" i="1"/>
  <c r="I1457" i="2"/>
  <c r="I1456" i="2" s="1"/>
  <c r="L1456" i="2" s="1"/>
  <c r="H1456" i="2"/>
  <c r="D1620" i="2"/>
  <c r="D1615" i="2"/>
  <c r="F1606" i="2"/>
  <c r="D1626" i="2"/>
  <c r="I1624" i="2"/>
  <c r="L1624" i="2" s="1"/>
  <c r="H1624" i="2"/>
  <c r="C41" i="1" l="1"/>
  <c r="J89" i="3"/>
  <c r="J80" i="2"/>
  <c r="J66" i="2"/>
  <c r="K86" i="2"/>
  <c r="M86" i="2" s="1"/>
  <c r="N86" i="2" s="1"/>
  <c r="O86" i="2" s="1"/>
  <c r="J86" i="2"/>
  <c r="K39" i="2"/>
  <c r="M39" i="2" s="1"/>
  <c r="N39" i="2" s="1"/>
  <c r="O39" i="2" s="1"/>
  <c r="J39" i="2"/>
  <c r="J83" i="2"/>
  <c r="J1456" i="2"/>
  <c r="K1456" i="2"/>
  <c r="M1456" i="2" s="1"/>
  <c r="N686" i="2"/>
  <c r="O686" i="2" s="1"/>
  <c r="K30" i="2"/>
  <c r="K1624" i="2"/>
  <c r="M1624" i="2" s="1"/>
  <c r="N1624" i="2" s="1"/>
  <c r="O1624" i="2" s="1"/>
  <c r="J1624" i="2"/>
  <c r="K54" i="2"/>
  <c r="J77" i="2"/>
  <c r="J89" i="2"/>
  <c r="K153" i="2"/>
  <c r="M153" i="2" s="1"/>
  <c r="J153" i="2"/>
  <c r="I116" i="2"/>
  <c r="I125" i="2"/>
  <c r="J125" i="2" s="1"/>
  <c r="I130" i="2"/>
  <c r="H130" i="2"/>
  <c r="I69" i="2"/>
  <c r="J69" i="2" s="1"/>
  <c r="I73" i="2"/>
  <c r="J73" i="2" s="1"/>
  <c r="H116" i="2"/>
  <c r="H106" i="2"/>
  <c r="I62" i="2"/>
  <c r="J62" i="2" s="1"/>
  <c r="I106" i="2"/>
  <c r="H18" i="2"/>
  <c r="I30" i="2"/>
  <c r="L30" i="2" s="1"/>
  <c r="I18" i="2"/>
  <c r="L18" i="2" s="1"/>
  <c r="H44" i="2"/>
  <c r="I54" i="2"/>
  <c r="L54" i="2" s="1"/>
  <c r="I44" i="2"/>
  <c r="J88" i="3" l="1"/>
  <c r="H89" i="3"/>
  <c r="J44" i="2"/>
  <c r="M54" i="2"/>
  <c r="N54" i="2" s="1"/>
  <c r="O54" i="2" s="1"/>
  <c r="J20" i="3" s="1"/>
  <c r="J130" i="2"/>
  <c r="N153" i="2"/>
  <c r="O153" i="2" s="1"/>
  <c r="N1456" i="2"/>
  <c r="O1456" i="2" s="1"/>
  <c r="O1454" i="2" s="1"/>
  <c r="J78" i="3" s="1"/>
  <c r="H78" i="3" s="1"/>
  <c r="J18" i="2"/>
  <c r="K18" i="2"/>
  <c r="M18" i="2" s="1"/>
  <c r="N18" i="2" s="1"/>
  <c r="O18" i="2" s="1"/>
  <c r="J116" i="2"/>
  <c r="J30" i="2"/>
  <c r="J106" i="2"/>
  <c r="J54" i="2"/>
  <c r="M30" i="2"/>
  <c r="N30" i="2" s="1"/>
  <c r="O30" i="2" s="1"/>
  <c r="J18" i="3" s="1"/>
  <c r="O1574" i="2"/>
  <c r="J82" i="3" s="1"/>
  <c r="H82" i="3" s="1"/>
  <c r="O1622" i="2"/>
  <c r="J85" i="3" s="1"/>
  <c r="H85" i="3" s="1"/>
  <c r="H1620" i="2" l="1"/>
  <c r="I1619" i="2"/>
  <c r="H1615" i="2"/>
  <c r="H1611" i="2" s="1"/>
  <c r="I1613" i="2"/>
  <c r="I1611" i="2" s="1"/>
  <c r="H1609" i="2"/>
  <c r="I1607" i="2"/>
  <c r="I1462" i="2"/>
  <c r="I1461" i="2" s="1"/>
  <c r="D1462" i="2"/>
  <c r="H1461" i="2"/>
  <c r="C282" i="4"/>
  <c r="H282" i="4"/>
  <c r="F1532" i="2" s="1"/>
  <c r="H283" i="4"/>
  <c r="H281" i="4"/>
  <c r="H280" i="4"/>
  <c r="F1468" i="2" s="1"/>
  <c r="G283" i="4"/>
  <c r="I283" i="4" s="1"/>
  <c r="C281" i="4"/>
  <c r="D281" i="4" s="1"/>
  <c r="G281" i="4" s="1"/>
  <c r="C280" i="4"/>
  <c r="G280" i="4" s="1"/>
  <c r="D279" i="4"/>
  <c r="D278" i="4"/>
  <c r="D273" i="4"/>
  <c r="F1461" i="2" s="1"/>
  <c r="F279" i="4" l="1"/>
  <c r="J279" i="4" s="1"/>
  <c r="L1468" i="2"/>
  <c r="K1468" i="2"/>
  <c r="I281" i="4"/>
  <c r="F1510" i="2"/>
  <c r="F278" i="4"/>
  <c r="F284" i="4" s="1"/>
  <c r="F1567" i="2"/>
  <c r="L1532" i="2"/>
  <c r="K1532" i="2"/>
  <c r="I280" i="4"/>
  <c r="F1478" i="2"/>
  <c r="F1500" i="2"/>
  <c r="K1461" i="2"/>
  <c r="L1461" i="2"/>
  <c r="J1461" i="2"/>
  <c r="I1606" i="2"/>
  <c r="L1606" i="2" s="1"/>
  <c r="L1611" i="2"/>
  <c r="H1606" i="2"/>
  <c r="H1617" i="2"/>
  <c r="I1617" i="2"/>
  <c r="L1617" i="2" s="1"/>
  <c r="H284" i="4"/>
  <c r="D282" i="4"/>
  <c r="G282" i="4" s="1"/>
  <c r="F1542" i="2" s="1"/>
  <c r="K284" i="4"/>
  <c r="K64" i="3"/>
  <c r="K65" i="3"/>
  <c r="K66" i="3"/>
  <c r="K67" i="3"/>
  <c r="K68" i="3"/>
  <c r="K69" i="3"/>
  <c r="K71" i="3"/>
  <c r="K72" i="3"/>
  <c r="K73" i="3"/>
  <c r="K75" i="3"/>
  <c r="B75" i="3"/>
  <c r="A75" i="3"/>
  <c r="B73" i="3"/>
  <c r="A73" i="3"/>
  <c r="B70" i="3"/>
  <c r="A70" i="3"/>
  <c r="B69" i="3"/>
  <c r="A69" i="3"/>
  <c r="B68" i="3"/>
  <c r="A68" i="3"/>
  <c r="B67" i="3"/>
  <c r="A67" i="3"/>
  <c r="B66" i="3"/>
  <c r="A66" i="3"/>
  <c r="B65" i="3"/>
  <c r="A65" i="3"/>
  <c r="B64" i="3"/>
  <c r="A64" i="3"/>
  <c r="B63" i="3"/>
  <c r="A63" i="3"/>
  <c r="B62" i="3"/>
  <c r="A62" i="3"/>
  <c r="K63" i="3"/>
  <c r="B60" i="3"/>
  <c r="A60" i="3"/>
  <c r="B59" i="3"/>
  <c r="A59" i="3"/>
  <c r="B58" i="3"/>
  <c r="A58" i="3"/>
  <c r="B57" i="3"/>
  <c r="A57" i="3"/>
  <c r="B56" i="3"/>
  <c r="A56" i="3"/>
  <c r="B55" i="3"/>
  <c r="A55" i="3"/>
  <c r="K49" i="3"/>
  <c r="B49" i="3"/>
  <c r="A49" i="3"/>
  <c r="K46" i="3"/>
  <c r="K20" i="3"/>
  <c r="K19" i="3"/>
  <c r="K16" i="2"/>
  <c r="B54" i="3"/>
  <c r="A54" i="3"/>
  <c r="K60" i="3"/>
  <c r="K59" i="3"/>
  <c r="K58" i="3"/>
  <c r="K57" i="3"/>
  <c r="K56" i="3"/>
  <c r="K55" i="3"/>
  <c r="B35" i="1"/>
  <c r="A35" i="1"/>
  <c r="D897" i="2"/>
  <c r="D894" i="2"/>
  <c r="H893" i="2"/>
  <c r="H865" i="2"/>
  <c r="H864" i="2"/>
  <c r="H863" i="2"/>
  <c r="H862" i="2"/>
  <c r="H861" i="2"/>
  <c r="I858" i="2"/>
  <c r="I857" i="2"/>
  <c r="H854" i="2"/>
  <c r="H1383" i="2"/>
  <c r="H1379" i="2" s="1"/>
  <c r="H1372" i="2"/>
  <c r="H1371" i="2"/>
  <c r="I1104" i="2"/>
  <c r="I1103" i="2" s="1"/>
  <c r="D1104" i="2"/>
  <c r="H1103" i="2"/>
  <c r="I1101" i="2"/>
  <c r="I1100" i="2" s="1"/>
  <c r="D1101" i="2"/>
  <c r="H1100" i="2"/>
  <c r="M1532" i="2" l="1"/>
  <c r="N1532" i="2" s="1"/>
  <c r="O1532" i="2" s="1"/>
  <c r="M1468" i="2"/>
  <c r="N1468" i="2" s="1"/>
  <c r="O1468" i="2" s="1"/>
  <c r="F1487" i="2"/>
  <c r="L1478" i="2"/>
  <c r="K1478" i="2"/>
  <c r="K1567" i="2"/>
  <c r="L1567" i="2"/>
  <c r="F1519" i="2"/>
  <c r="L1510" i="2"/>
  <c r="K1510" i="2"/>
  <c r="L1500" i="2"/>
  <c r="K1500" i="2"/>
  <c r="F1551" i="2"/>
  <c r="K1542" i="2"/>
  <c r="L1542" i="2"/>
  <c r="J278" i="4"/>
  <c r="J284" i="4" s="1"/>
  <c r="F1630" i="2" s="1"/>
  <c r="F1594" i="2"/>
  <c r="M1461" i="2"/>
  <c r="N1461" i="2" s="1"/>
  <c r="O1461" i="2" s="1"/>
  <c r="J1611" i="2"/>
  <c r="K1611" i="2"/>
  <c r="M1611" i="2" s="1"/>
  <c r="K893" i="2"/>
  <c r="M893" i="2" s="1"/>
  <c r="J893" i="2"/>
  <c r="J1100" i="2"/>
  <c r="K1379" i="2"/>
  <c r="J1617" i="2"/>
  <c r="K1617" i="2"/>
  <c r="M1617" i="2" s="1"/>
  <c r="K896" i="2"/>
  <c r="M896" i="2" s="1"/>
  <c r="L44" i="2"/>
  <c r="K44" i="2"/>
  <c r="J1606" i="2"/>
  <c r="K1606" i="2"/>
  <c r="M1606" i="2" s="1"/>
  <c r="J1103" i="2"/>
  <c r="I282" i="4"/>
  <c r="G284" i="4"/>
  <c r="L881" i="2"/>
  <c r="H853" i="2"/>
  <c r="I853" i="2"/>
  <c r="L853" i="2" s="1"/>
  <c r="I1364" i="2"/>
  <c r="H1368" i="2"/>
  <c r="I1368" i="2"/>
  <c r="L1368" i="2" s="1"/>
  <c r="I1379" i="2"/>
  <c r="L1379" i="2" s="1"/>
  <c r="M1510" i="2" l="1"/>
  <c r="N1510" i="2" s="1"/>
  <c r="O1510" i="2" s="1"/>
  <c r="M1567" i="2"/>
  <c r="N1567" i="2" s="1"/>
  <c r="O1567" i="2" s="1"/>
  <c r="O1563" i="2" s="1"/>
  <c r="J81" i="3" s="1"/>
  <c r="H81" i="3" s="1"/>
  <c r="M1500" i="2"/>
  <c r="N1500" i="2" s="1"/>
  <c r="O1500" i="2" s="1"/>
  <c r="F1599" i="2"/>
  <c r="L1594" i="2"/>
  <c r="K1594" i="2"/>
  <c r="K1551" i="2"/>
  <c r="F1556" i="2"/>
  <c r="L1551" i="2"/>
  <c r="K1630" i="2"/>
  <c r="L1630" i="2"/>
  <c r="M1478" i="2"/>
  <c r="N1478" i="2" s="1"/>
  <c r="O1478" i="2" s="1"/>
  <c r="L1519" i="2"/>
  <c r="K1519" i="2"/>
  <c r="F1524" i="2"/>
  <c r="M1542" i="2"/>
  <c r="N1542" i="2" s="1"/>
  <c r="O1542" i="2" s="1"/>
  <c r="K1487" i="2"/>
  <c r="F1492" i="2"/>
  <c r="L1487" i="2"/>
  <c r="J1379" i="2"/>
  <c r="N893" i="2"/>
  <c r="O893" i="2" s="1"/>
  <c r="N896" i="2"/>
  <c r="O896" i="2" s="1"/>
  <c r="L1364" i="2"/>
  <c r="M1364" i="2" s="1"/>
  <c r="N1364" i="2" s="1"/>
  <c r="O1364" i="2" s="1"/>
  <c r="J1364" i="2"/>
  <c r="N1611" i="2"/>
  <c r="O1611" i="2" s="1"/>
  <c r="J881" i="2"/>
  <c r="K881" i="2"/>
  <c r="M881" i="2" s="1"/>
  <c r="N1617" i="2"/>
  <c r="O1617" i="2" s="1"/>
  <c r="N1606" i="2"/>
  <c r="O1606" i="2" s="1"/>
  <c r="M44" i="2"/>
  <c r="N44" i="2" s="1"/>
  <c r="O44" i="2" s="1"/>
  <c r="J19" i="3" s="1"/>
  <c r="J1368" i="2"/>
  <c r="K1368" i="2"/>
  <c r="M1368" i="2" s="1"/>
  <c r="K853" i="2"/>
  <c r="M853" i="2" s="1"/>
  <c r="N853" i="2" s="1"/>
  <c r="O853" i="2" s="1"/>
  <c r="J853" i="2"/>
  <c r="M1379" i="2"/>
  <c r="N1379" i="2" s="1"/>
  <c r="O1379" i="2" s="1"/>
  <c r="I284" i="4"/>
  <c r="O1459" i="2"/>
  <c r="J79" i="3" s="1"/>
  <c r="H79" i="3" s="1"/>
  <c r="J46" i="3"/>
  <c r="F46" i="3" s="1"/>
  <c r="M1630" i="2" l="1"/>
  <c r="N1630" i="2" s="1"/>
  <c r="O1630" i="2" s="1"/>
  <c r="O1628" i="2" s="1"/>
  <c r="J86" i="3" s="1"/>
  <c r="H86" i="3" s="1"/>
  <c r="M1487" i="2"/>
  <c r="N1487" i="2" s="1"/>
  <c r="O1487" i="2" s="1"/>
  <c r="L1524" i="2"/>
  <c r="K1524" i="2"/>
  <c r="M1551" i="2"/>
  <c r="N1551" i="2" s="1"/>
  <c r="O1551" i="2" s="1"/>
  <c r="K1492" i="2"/>
  <c r="L1492" i="2"/>
  <c r="M1519" i="2"/>
  <c r="N1519" i="2" s="1"/>
  <c r="O1519" i="2" s="1"/>
  <c r="M1594" i="2"/>
  <c r="N1594" i="2" s="1"/>
  <c r="O1594" i="2" s="1"/>
  <c r="K1556" i="2"/>
  <c r="L1556" i="2"/>
  <c r="L1599" i="2"/>
  <c r="K1599" i="2"/>
  <c r="O1604" i="2"/>
  <c r="J84" i="3" s="1"/>
  <c r="H84" i="3" s="1"/>
  <c r="N1368" i="2"/>
  <c r="O1368" i="2" s="1"/>
  <c r="N881" i="2"/>
  <c r="O881" i="2" s="1"/>
  <c r="I958" i="2"/>
  <c r="I957" i="2" s="1"/>
  <c r="L957" i="2" s="1"/>
  <c r="D958" i="2"/>
  <c r="H957" i="2"/>
  <c r="G109" i="4"/>
  <c r="G104" i="4"/>
  <c r="H824" i="2"/>
  <c r="H436" i="2"/>
  <c r="H433" i="2" s="1"/>
  <c r="M1599" i="2" l="1"/>
  <c r="N1599" i="2" s="1"/>
  <c r="O1599" i="2" s="1"/>
  <c r="O1592" i="2" s="1"/>
  <c r="J83" i="3" s="1"/>
  <c r="H83" i="3" s="1"/>
  <c r="M1556" i="2"/>
  <c r="N1556" i="2" s="1"/>
  <c r="O1556" i="2" s="1"/>
  <c r="M1492" i="2"/>
  <c r="N1492" i="2" s="1"/>
  <c r="O1492" i="2" s="1"/>
  <c r="M1524" i="2"/>
  <c r="N1524" i="2" s="1"/>
  <c r="O1524" i="2" s="1"/>
  <c r="O850" i="2"/>
  <c r="C35" i="1" s="1"/>
  <c r="J49" i="3"/>
  <c r="F49" i="3" s="1"/>
  <c r="K824" i="2"/>
  <c r="K433" i="2"/>
  <c r="J957" i="2"/>
  <c r="K957" i="2"/>
  <c r="M957" i="2" s="1"/>
  <c r="G111" i="4"/>
  <c r="F928" i="2" s="1"/>
  <c r="D19" i="3"/>
  <c r="F19" i="3"/>
  <c r="I433" i="2"/>
  <c r="L433" i="2" s="1"/>
  <c r="I824" i="2"/>
  <c r="L824" i="2" s="1"/>
  <c r="O1464" i="2" l="1"/>
  <c r="L928" i="2"/>
  <c r="K928" i="2"/>
  <c r="M824" i="2"/>
  <c r="N824" i="2" s="1"/>
  <c r="O824" i="2" s="1"/>
  <c r="M433" i="2"/>
  <c r="N433" i="2" s="1"/>
  <c r="O433" i="2" s="1"/>
  <c r="N957" i="2"/>
  <c r="O957" i="2" s="1"/>
  <c r="J824" i="2"/>
  <c r="J433" i="2"/>
  <c r="I529" i="2"/>
  <c r="I528" i="2" s="1"/>
  <c r="D529" i="2"/>
  <c r="I526" i="2"/>
  <c r="I525" i="2" s="1"/>
  <c r="D526" i="2"/>
  <c r="F98" i="2"/>
  <c r="I96" i="2"/>
  <c r="I95" i="2" s="1"/>
  <c r="D96" i="2"/>
  <c r="H95" i="2"/>
  <c r="I93" i="2"/>
  <c r="I92" i="2" s="1"/>
  <c r="D93" i="2"/>
  <c r="H92" i="2"/>
  <c r="O1452" i="2" l="1"/>
  <c r="J80" i="3"/>
  <c r="H80" i="3" s="1"/>
  <c r="M928" i="2"/>
  <c r="N928" i="2" s="1"/>
  <c r="O928" i="2" s="1"/>
  <c r="J92" i="2"/>
  <c r="J95" i="2"/>
  <c r="K98" i="2"/>
  <c r="L98" i="2"/>
  <c r="H1198" i="2"/>
  <c r="H1194" i="2" s="1"/>
  <c r="H1231" i="2"/>
  <c r="H1230" i="2" s="1"/>
  <c r="J1230" i="2" s="1"/>
  <c r="D1231" i="2"/>
  <c r="H1155" i="2"/>
  <c r="H1157" i="2"/>
  <c r="H1156" i="2"/>
  <c r="H1340" i="2"/>
  <c r="H1322" i="2"/>
  <c r="H1321" i="2"/>
  <c r="H1320" i="2"/>
  <c r="H1319" i="2"/>
  <c r="H1318" i="2"/>
  <c r="H1317" i="2"/>
  <c r="H1316" i="2"/>
  <c r="H1315" i="2"/>
  <c r="I1312" i="2"/>
  <c r="C40" i="1" l="1"/>
  <c r="J77" i="3"/>
  <c r="M98" i="2"/>
  <c r="N98" i="2" s="1"/>
  <c r="O98" i="2" s="1"/>
  <c r="J1194" i="2"/>
  <c r="K1194" i="2"/>
  <c r="M1194" i="2" s="1"/>
  <c r="N1194" i="2" s="1"/>
  <c r="O1194" i="2" s="1"/>
  <c r="H1312" i="2"/>
  <c r="J1312" i="2" s="1"/>
  <c r="H1152" i="2"/>
  <c r="I1337" i="2"/>
  <c r="I1152" i="2"/>
  <c r="L1152" i="2" s="1"/>
  <c r="H1337" i="2"/>
  <c r="J1337" i="2" l="1"/>
  <c r="J1152" i="2"/>
  <c r="K1152" i="2"/>
  <c r="M1152" i="2" s="1"/>
  <c r="N1152" i="2" s="1"/>
  <c r="O1152" i="2" s="1"/>
  <c r="B39" i="1"/>
  <c r="A39" i="1"/>
  <c r="F1176" i="2"/>
  <c r="H1362" i="2"/>
  <c r="H1360" i="2" s="1"/>
  <c r="D1362" i="2"/>
  <c r="I1360" i="2"/>
  <c r="H1358" i="2"/>
  <c r="H1356" i="2" s="1"/>
  <c r="J1356" i="2" s="1"/>
  <c r="D1358" i="2"/>
  <c r="H1354" i="2"/>
  <c r="H1352" i="2" s="1"/>
  <c r="D1354" i="2"/>
  <c r="I1352" i="2"/>
  <c r="H1350" i="2"/>
  <c r="H1348" i="2" s="1"/>
  <c r="D1350" i="2"/>
  <c r="I1348" i="2"/>
  <c r="I1256" i="2"/>
  <c r="I1254" i="2" s="1"/>
  <c r="H1256" i="2"/>
  <c r="H1255" i="2"/>
  <c r="D1255" i="2"/>
  <c r="H1252" i="2"/>
  <c r="H1250" i="2" s="1"/>
  <c r="I1250" i="2"/>
  <c r="F265" i="4"/>
  <c r="F1214" i="2" s="1"/>
  <c r="F262" i="4"/>
  <c r="F1200" i="2" s="1"/>
  <c r="G255" i="4"/>
  <c r="F255" i="4"/>
  <c r="F249" i="4"/>
  <c r="F248" i="4"/>
  <c r="F1272" i="2"/>
  <c r="F1280" i="2"/>
  <c r="F1287" i="2"/>
  <c r="F1312" i="2"/>
  <c r="F1348" i="2"/>
  <c r="F1352" i="2"/>
  <c r="F1356" i="2"/>
  <c r="F1297" i="2"/>
  <c r="K230" i="4"/>
  <c r="K234" i="4"/>
  <c r="K233" i="4"/>
  <c r="J229" i="4"/>
  <c r="J238" i="4" s="1"/>
  <c r="H234" i="4"/>
  <c r="H233" i="4"/>
  <c r="H230" i="4"/>
  <c r="H229" i="4"/>
  <c r="G234" i="4"/>
  <c r="G233" i="4"/>
  <c r="G232" i="4"/>
  <c r="G231" i="4"/>
  <c r="F230" i="4"/>
  <c r="K238" i="4" l="1"/>
  <c r="G238" i="4"/>
  <c r="H238" i="4"/>
  <c r="K1214" i="2"/>
  <c r="L1214" i="2"/>
  <c r="L1200" i="2"/>
  <c r="K1200" i="2"/>
  <c r="J1348" i="2"/>
  <c r="J1360" i="2"/>
  <c r="K1348" i="2"/>
  <c r="L1348" i="2"/>
  <c r="L1297" i="2"/>
  <c r="K1297" i="2"/>
  <c r="K1360" i="2"/>
  <c r="L1360" i="2"/>
  <c r="J1250" i="2"/>
  <c r="L1352" i="2"/>
  <c r="K1352" i="2"/>
  <c r="L1305" i="2"/>
  <c r="K1305" i="2"/>
  <c r="K1312" i="2"/>
  <c r="L1312" i="2"/>
  <c r="J1352" i="2"/>
  <c r="K1176" i="2"/>
  <c r="L1176" i="2"/>
  <c r="K1356" i="2"/>
  <c r="L1356" i="2"/>
  <c r="L1337" i="2"/>
  <c r="K1337" i="2"/>
  <c r="F1100" i="2"/>
  <c r="F1103" i="2"/>
  <c r="I1272" i="2"/>
  <c r="L1272" i="2" s="1"/>
  <c r="I1280" i="2"/>
  <c r="L1280" i="2" s="1"/>
  <c r="I1287" i="2"/>
  <c r="L1287" i="2" s="1"/>
  <c r="H1280" i="2"/>
  <c r="H1287" i="2"/>
  <c r="H1254" i="2"/>
  <c r="J1254" i="2" s="1"/>
  <c r="I1448" i="2"/>
  <c r="H1272" i="2"/>
  <c r="F266" i="4"/>
  <c r="F1223" i="2"/>
  <c r="F1387" i="2"/>
  <c r="F1250" i="2"/>
  <c r="F1230" i="2"/>
  <c r="F1393" i="2"/>
  <c r="G254" i="4"/>
  <c r="F254" i="4"/>
  <c r="F247" i="4"/>
  <c r="F243" i="4"/>
  <c r="F242" i="4"/>
  <c r="F232" i="4"/>
  <c r="F231" i="4"/>
  <c r="F229" i="4"/>
  <c r="B223" i="4"/>
  <c r="D223" i="4" s="1"/>
  <c r="F1094" i="2" s="1"/>
  <c r="A38" i="1"/>
  <c r="B38" i="1"/>
  <c r="G215" i="4"/>
  <c r="G214" i="4"/>
  <c r="H213" i="4"/>
  <c r="I213" i="4" s="1"/>
  <c r="I216" i="4" s="1"/>
  <c r="F1060" i="2" s="1"/>
  <c r="G213" i="4"/>
  <c r="F213" i="4"/>
  <c r="F216" i="4" s="1"/>
  <c r="G198" i="4"/>
  <c r="G197" i="4"/>
  <c r="G196" i="4"/>
  <c r="J187" i="4"/>
  <c r="J188" i="4"/>
  <c r="J186" i="4"/>
  <c r="J181" i="4"/>
  <c r="J182" i="4"/>
  <c r="J180" i="4"/>
  <c r="J174" i="4"/>
  <c r="J175" i="4"/>
  <c r="J173" i="4"/>
  <c r="J168" i="4"/>
  <c r="J169" i="4"/>
  <c r="J167" i="4"/>
  <c r="J161" i="4"/>
  <c r="J162" i="4"/>
  <c r="J160" i="4"/>
  <c r="J155" i="4"/>
  <c r="J156" i="4"/>
  <c r="J154" i="4"/>
  <c r="J148" i="4"/>
  <c r="J149" i="4"/>
  <c r="J147" i="4"/>
  <c r="J142" i="4"/>
  <c r="J143" i="4"/>
  <c r="J141" i="4"/>
  <c r="G187" i="4"/>
  <c r="G186" i="4"/>
  <c r="G181" i="4"/>
  <c r="G182" i="4"/>
  <c r="G180" i="4"/>
  <c r="G174" i="4"/>
  <c r="G175" i="4"/>
  <c r="G173" i="4"/>
  <c r="G168" i="4"/>
  <c r="G169" i="4"/>
  <c r="G167" i="4"/>
  <c r="G161" i="4"/>
  <c r="G162" i="4"/>
  <c r="G160" i="4"/>
  <c r="G155" i="4"/>
  <c r="G156" i="4"/>
  <c r="G154" i="4"/>
  <c r="G148" i="4"/>
  <c r="G149" i="4"/>
  <c r="G147" i="4"/>
  <c r="G142" i="4"/>
  <c r="G143" i="4"/>
  <c r="G141" i="4"/>
  <c r="F196" i="4"/>
  <c r="F197" i="4"/>
  <c r="F198" i="4"/>
  <c r="F199" i="4"/>
  <c r="F200" i="4"/>
  <c r="F201" i="4"/>
  <c r="F202" i="4"/>
  <c r="F203" i="4"/>
  <c r="F204" i="4"/>
  <c r="F205" i="4"/>
  <c r="F206" i="4"/>
  <c r="F207" i="4"/>
  <c r="F195" i="4"/>
  <c r="G188" i="4"/>
  <c r="I188" i="4"/>
  <c r="I187" i="4"/>
  <c r="I186" i="4"/>
  <c r="I182" i="4"/>
  <c r="I181" i="4"/>
  <c r="I180" i="4"/>
  <c r="I175" i="4"/>
  <c r="I174" i="4"/>
  <c r="I173" i="4"/>
  <c r="I169" i="4"/>
  <c r="I168" i="4"/>
  <c r="I167" i="4"/>
  <c r="I162" i="4"/>
  <c r="I161" i="4"/>
  <c r="I160" i="4"/>
  <c r="I156" i="4"/>
  <c r="I155" i="4"/>
  <c r="I154" i="4"/>
  <c r="I149" i="4"/>
  <c r="I148" i="4"/>
  <c r="I147" i="4"/>
  <c r="I142" i="4"/>
  <c r="I143" i="4"/>
  <c r="I141" i="4"/>
  <c r="G208" i="4" l="1"/>
  <c r="F1721" i="2" s="1"/>
  <c r="K1721" i="2" s="1"/>
  <c r="F208" i="4"/>
  <c r="F1716" i="2" s="1"/>
  <c r="K1716" i="2" s="1"/>
  <c r="M1200" i="2"/>
  <c r="N1200" i="2" s="1"/>
  <c r="O1200" i="2" s="1"/>
  <c r="L1090" i="2"/>
  <c r="F238" i="4"/>
  <c r="F1240" i="2" s="1"/>
  <c r="M1214" i="2"/>
  <c r="N1214" i="2" s="1"/>
  <c r="O1214" i="2" s="1"/>
  <c r="K1060" i="2"/>
  <c r="L1060" i="2"/>
  <c r="K1393" i="2"/>
  <c r="L1393" i="2"/>
  <c r="L1387" i="2"/>
  <c r="K1387" i="2"/>
  <c r="M1312" i="2"/>
  <c r="N1312" i="2" s="1"/>
  <c r="O1312" i="2" s="1"/>
  <c r="M1305" i="2"/>
  <c r="N1305" i="2" s="1"/>
  <c r="O1305" i="2" s="1"/>
  <c r="M1348" i="2"/>
  <c r="N1348" i="2" s="1"/>
  <c r="O1348" i="2" s="1"/>
  <c r="J1287" i="2"/>
  <c r="M1337" i="2"/>
  <c r="N1337" i="2" s="1"/>
  <c r="O1337" i="2" s="1"/>
  <c r="M1176" i="2"/>
  <c r="N1176" i="2" s="1"/>
  <c r="O1176" i="2" s="1"/>
  <c r="M1360" i="2"/>
  <c r="N1360" i="2" s="1"/>
  <c r="O1360" i="2" s="1"/>
  <c r="K1250" i="2"/>
  <c r="L1250" i="2"/>
  <c r="J1272" i="2"/>
  <c r="J1280" i="2"/>
  <c r="L1103" i="2"/>
  <c r="K1103" i="2"/>
  <c r="M1356" i="2"/>
  <c r="N1356" i="2" s="1"/>
  <c r="O1356" i="2" s="1"/>
  <c r="K1280" i="2"/>
  <c r="M1280" i="2" s="1"/>
  <c r="N1280" i="2" s="1"/>
  <c r="O1280" i="2" s="1"/>
  <c r="M1297" i="2"/>
  <c r="N1297" i="2" s="1"/>
  <c r="O1297" i="2" s="1"/>
  <c r="L1223" i="2"/>
  <c r="K1223" i="2"/>
  <c r="L1230" i="2"/>
  <c r="K1230" i="2"/>
  <c r="K1287" i="2"/>
  <c r="M1287" i="2" s="1"/>
  <c r="N1287" i="2" s="1"/>
  <c r="O1287" i="2" s="1"/>
  <c r="K1094" i="2"/>
  <c r="L1094" i="2"/>
  <c r="L1448" i="2"/>
  <c r="M1448" i="2" s="1"/>
  <c r="N1448" i="2" s="1"/>
  <c r="O1448" i="2" s="1"/>
  <c r="J1448" i="2"/>
  <c r="K1100" i="2"/>
  <c r="L1100" i="2"/>
  <c r="K1272" i="2"/>
  <c r="M1272" i="2" s="1"/>
  <c r="N1272" i="2" s="1"/>
  <c r="O1272" i="2" s="1"/>
  <c r="M1352" i="2"/>
  <c r="N1352" i="2" s="1"/>
  <c r="O1352" i="2" s="1"/>
  <c r="H258" i="4"/>
  <c r="F1121" i="2" s="1"/>
  <c r="G216" i="4"/>
  <c r="F1066" i="2" s="1"/>
  <c r="H216" i="4"/>
  <c r="F964" i="2" s="1"/>
  <c r="I258" i="4"/>
  <c r="F1111" i="2" s="1"/>
  <c r="G258" i="4"/>
  <c r="F1398" i="2" s="1"/>
  <c r="F245" i="4"/>
  <c r="F1149" i="2" s="1"/>
  <c r="F250" i="4"/>
  <c r="F1146" i="2" s="1"/>
  <c r="F258" i="4"/>
  <c r="F1254" i="2" s="1"/>
  <c r="F949" i="2"/>
  <c r="J216" i="4"/>
  <c r="G189" i="4"/>
  <c r="F1732" i="2" s="1"/>
  <c r="I189" i="4"/>
  <c r="J189" i="4"/>
  <c r="B28" i="3"/>
  <c r="A28" i="3"/>
  <c r="B51" i="3"/>
  <c r="A51" i="3"/>
  <c r="B50" i="3"/>
  <c r="A50" i="3"/>
  <c r="B48" i="3"/>
  <c r="B47" i="3"/>
  <c r="B45" i="3"/>
  <c r="A45" i="3"/>
  <c r="B44" i="3"/>
  <c r="A44" i="3"/>
  <c r="B43" i="3"/>
  <c r="A43" i="3"/>
  <c r="B42" i="3"/>
  <c r="A42" i="3"/>
  <c r="B41" i="3"/>
  <c r="A41" i="3"/>
  <c r="B40" i="3"/>
  <c r="A40" i="3"/>
  <c r="B39" i="3"/>
  <c r="A39" i="3"/>
  <c r="B38" i="3"/>
  <c r="A38" i="3"/>
  <c r="K51" i="3"/>
  <c r="K50" i="3"/>
  <c r="K48" i="3"/>
  <c r="K47" i="3"/>
  <c r="K44" i="3"/>
  <c r="K43" i="3"/>
  <c r="K42" i="3"/>
  <c r="K41" i="3"/>
  <c r="K40" i="3"/>
  <c r="K39" i="3"/>
  <c r="K38" i="3"/>
  <c r="B37" i="3"/>
  <c r="A37" i="3"/>
  <c r="K24" i="3"/>
  <c r="K25" i="3"/>
  <c r="K26" i="3"/>
  <c r="K27" i="3"/>
  <c r="K29" i="3"/>
  <c r="K30" i="3"/>
  <c r="K32" i="3"/>
  <c r="K33" i="3"/>
  <c r="K34" i="3"/>
  <c r="K35" i="3"/>
  <c r="K23" i="3"/>
  <c r="K18" i="3"/>
  <c r="K17" i="3"/>
  <c r="K14" i="3"/>
  <c r="K13" i="3"/>
  <c r="B35" i="3"/>
  <c r="A35" i="3"/>
  <c r="B34" i="3"/>
  <c r="A34" i="3"/>
  <c r="B32" i="3"/>
  <c r="B31" i="3"/>
  <c r="A31" i="3"/>
  <c r="B30" i="3"/>
  <c r="A30" i="3"/>
  <c r="B29" i="3"/>
  <c r="A29" i="3"/>
  <c r="B27" i="3"/>
  <c r="A27" i="3"/>
  <c r="B26" i="3"/>
  <c r="A26" i="3"/>
  <c r="B25" i="3"/>
  <c r="A25" i="3"/>
  <c r="B24" i="3"/>
  <c r="A24" i="3"/>
  <c r="A23" i="3"/>
  <c r="B23" i="3"/>
  <c r="B22" i="3"/>
  <c r="A22" i="3"/>
  <c r="B12" i="3"/>
  <c r="A12" i="3"/>
  <c r="H793" i="2"/>
  <c r="H790" i="2" s="1"/>
  <c r="H398" i="2"/>
  <c r="H395" i="2" s="1"/>
  <c r="H393" i="2"/>
  <c r="H392" i="2"/>
  <c r="H391" i="2"/>
  <c r="B37" i="1"/>
  <c r="A37" i="1"/>
  <c r="B36" i="1"/>
  <c r="A36" i="1"/>
  <c r="B34" i="1"/>
  <c r="A34" i="1"/>
  <c r="B33" i="1"/>
  <c r="A33" i="1"/>
  <c r="B32" i="1"/>
  <c r="A32" i="1"/>
  <c r="B31" i="1"/>
  <c r="A31" i="1"/>
  <c r="B30" i="1"/>
  <c r="A30" i="1"/>
  <c r="B29" i="1"/>
  <c r="A29" i="1"/>
  <c r="B28" i="1"/>
  <c r="A28" i="1"/>
  <c r="B27" i="1"/>
  <c r="A27" i="1"/>
  <c r="A26" i="1"/>
  <c r="B25" i="1"/>
  <c r="A25" i="1"/>
  <c r="B24" i="1"/>
  <c r="A24" i="1"/>
  <c r="B23" i="1"/>
  <c r="A23" i="1"/>
  <c r="B22" i="1"/>
  <c r="A22" i="1"/>
  <c r="B21" i="1"/>
  <c r="A21" i="1"/>
  <c r="B20" i="1"/>
  <c r="A20" i="1"/>
  <c r="B19" i="1"/>
  <c r="A19" i="1"/>
  <c r="B18" i="1"/>
  <c r="A18" i="1"/>
  <c r="B17" i="1"/>
  <c r="A17" i="1"/>
  <c r="B16" i="1"/>
  <c r="A16" i="1"/>
  <c r="B15" i="1"/>
  <c r="A14" i="1"/>
  <c r="B13" i="1"/>
  <c r="A13" i="1"/>
  <c r="B12" i="1"/>
  <c r="A12" i="1"/>
  <c r="A15" i="1"/>
  <c r="B26" i="1"/>
  <c r="B14" i="1"/>
  <c r="C123" i="4"/>
  <c r="F123" i="4" s="1"/>
  <c r="F124" i="4" s="1"/>
  <c r="C59" i="4"/>
  <c r="F59" i="4" s="1"/>
  <c r="F60" i="4" s="1"/>
  <c r="H846" i="2"/>
  <c r="I846" i="2"/>
  <c r="L846" i="2" s="1"/>
  <c r="H834" i="2"/>
  <c r="H829" i="2"/>
  <c r="H819" i="2"/>
  <c r="H817" i="2" s="1"/>
  <c r="D819" i="2"/>
  <c r="I817" i="2"/>
  <c r="H813" i="2"/>
  <c r="I813" i="2"/>
  <c r="H809" i="2"/>
  <c r="I809" i="2"/>
  <c r="H805" i="2"/>
  <c r="I805" i="2"/>
  <c r="H781" i="2"/>
  <c r="H780" i="2"/>
  <c r="H779" i="2"/>
  <c r="H778" i="2"/>
  <c r="H777" i="2"/>
  <c r="H776" i="2"/>
  <c r="H775" i="2"/>
  <c r="H769" i="2"/>
  <c r="H767" i="2"/>
  <c r="H762" i="2"/>
  <c r="H761" i="2"/>
  <c r="H760" i="2"/>
  <c r="H759" i="2"/>
  <c r="H758" i="2"/>
  <c r="H757" i="2"/>
  <c r="H756" i="2"/>
  <c r="H755" i="2"/>
  <c r="H754" i="2"/>
  <c r="H725" i="2"/>
  <c r="H724" i="2"/>
  <c r="H723" i="2"/>
  <c r="H722" i="2"/>
  <c r="H718" i="2"/>
  <c r="H717" i="2"/>
  <c r="H716" i="2"/>
  <c r="H715" i="2"/>
  <c r="H710" i="2"/>
  <c r="H709" i="2"/>
  <c r="H708" i="2"/>
  <c r="H707" i="2"/>
  <c r="H702" i="2"/>
  <c r="H701" i="2"/>
  <c r="H700" i="2"/>
  <c r="H699" i="2"/>
  <c r="I680" i="2"/>
  <c r="I678" i="2" s="1"/>
  <c r="H680" i="2"/>
  <c r="D679" i="2"/>
  <c r="H676" i="2"/>
  <c r="H674" i="2" s="1"/>
  <c r="I674" i="2"/>
  <c r="H574" i="2"/>
  <c r="J574" i="2" s="1"/>
  <c r="H571" i="2"/>
  <c r="J571" i="2" s="1"/>
  <c r="M39" i="4"/>
  <c r="F461" i="2" s="1"/>
  <c r="H250" i="2"/>
  <c r="H249" i="2"/>
  <c r="H248" i="2"/>
  <c r="F219" i="2"/>
  <c r="F206" i="2"/>
  <c r="F193" i="2"/>
  <c r="F180" i="2"/>
  <c r="F166" i="2"/>
  <c r="I67" i="4"/>
  <c r="H67" i="4"/>
  <c r="G67" i="4"/>
  <c r="F67" i="4"/>
  <c r="F119" i="4"/>
  <c r="H133" i="4"/>
  <c r="I127" i="4"/>
  <c r="K128" i="4"/>
  <c r="J128" i="4"/>
  <c r="I128" i="4"/>
  <c r="F128" i="4"/>
  <c r="L109" i="4"/>
  <c r="M109" i="4" s="1"/>
  <c r="L105" i="4"/>
  <c r="M105" i="4" s="1"/>
  <c r="J105" i="4"/>
  <c r="L104" i="4"/>
  <c r="M104" i="4" s="1"/>
  <c r="J104" i="4"/>
  <c r="J103" i="4"/>
  <c r="L103" i="4"/>
  <c r="M103" i="4" s="1"/>
  <c r="K108" i="4"/>
  <c r="I108" i="4"/>
  <c r="F108" i="4"/>
  <c r="H108" i="4" s="1"/>
  <c r="K107" i="4"/>
  <c r="I107" i="4"/>
  <c r="F107" i="4"/>
  <c r="H107" i="4" s="1"/>
  <c r="K106" i="4"/>
  <c r="I106" i="4"/>
  <c r="F106" i="4"/>
  <c r="H106" i="4" s="1"/>
  <c r="D32" i="4"/>
  <c r="F32" i="4" s="1"/>
  <c r="H32" i="4" s="1"/>
  <c r="C46" i="4"/>
  <c r="F46" i="4" s="1"/>
  <c r="C45" i="4"/>
  <c r="F45" i="4" s="1"/>
  <c r="C44" i="4"/>
  <c r="F44" i="4" s="1"/>
  <c r="C43" i="4"/>
  <c r="F43" i="4" s="1"/>
  <c r="F68" i="4"/>
  <c r="H68" i="4"/>
  <c r="I68" i="4"/>
  <c r="G69" i="4"/>
  <c r="G68" i="4"/>
  <c r="I70" i="4"/>
  <c r="H70" i="4"/>
  <c r="G70" i="4"/>
  <c r="F70" i="4"/>
  <c r="I129" i="4"/>
  <c r="K131" i="4"/>
  <c r="J131" i="4"/>
  <c r="I131" i="4"/>
  <c r="F131" i="4"/>
  <c r="K130" i="4"/>
  <c r="J130" i="4"/>
  <c r="I130" i="4"/>
  <c r="F130" i="4"/>
  <c r="F120" i="4"/>
  <c r="C117" i="4"/>
  <c r="F117" i="4" s="1"/>
  <c r="F116" i="4"/>
  <c r="F115" i="4"/>
  <c r="AJ111" i="4"/>
  <c r="F729" i="2" s="1"/>
  <c r="AI111" i="4"/>
  <c r="AH111" i="4"/>
  <c r="F813" i="2" s="1"/>
  <c r="AG111" i="4"/>
  <c r="F809" i="2" s="1"/>
  <c r="AF111" i="4"/>
  <c r="F805" i="2" s="1"/>
  <c r="AE111" i="4"/>
  <c r="F817" i="2" s="1"/>
  <c r="AD111" i="4"/>
  <c r="AC111" i="4"/>
  <c r="AB111" i="4"/>
  <c r="AA111" i="4"/>
  <c r="Z111" i="4"/>
  <c r="Y111" i="4"/>
  <c r="X111" i="4"/>
  <c r="W111" i="4"/>
  <c r="V111" i="4"/>
  <c r="F772" i="2" s="1"/>
  <c r="U111" i="4"/>
  <c r="F751" i="2" s="1"/>
  <c r="T111" i="4"/>
  <c r="S111" i="4"/>
  <c r="F764" i="2" s="1"/>
  <c r="R111" i="4"/>
  <c r="F719" i="2" s="1"/>
  <c r="Q111" i="4"/>
  <c r="F712" i="2" s="1"/>
  <c r="P111" i="4"/>
  <c r="F704" i="2" s="1"/>
  <c r="O111" i="4"/>
  <c r="F696" i="2" s="1"/>
  <c r="I105" i="4"/>
  <c r="F105" i="4"/>
  <c r="F104" i="4"/>
  <c r="H104" i="4" s="1"/>
  <c r="I103" i="4"/>
  <c r="F103" i="4"/>
  <c r="H103" i="4" s="1"/>
  <c r="B98" i="4"/>
  <c r="D98" i="4" s="1"/>
  <c r="F522" i="2" s="1"/>
  <c r="D95" i="4"/>
  <c r="D94" i="4"/>
  <c r="D92" i="4"/>
  <c r="D91" i="4"/>
  <c r="D89" i="4"/>
  <c r="D88" i="4"/>
  <c r="D86" i="4"/>
  <c r="D85" i="4"/>
  <c r="B83" i="4"/>
  <c r="D83" i="4" s="1"/>
  <c r="B82" i="4"/>
  <c r="D82" i="4" s="1"/>
  <c r="D80" i="4"/>
  <c r="D79" i="4"/>
  <c r="I37" i="4"/>
  <c r="F472" i="2" s="1"/>
  <c r="I65" i="4"/>
  <c r="I66" i="4"/>
  <c r="H65" i="4"/>
  <c r="H66" i="4"/>
  <c r="G65" i="4"/>
  <c r="G64" i="4"/>
  <c r="G66" i="4"/>
  <c r="F65" i="4"/>
  <c r="F66" i="4"/>
  <c r="F56" i="4"/>
  <c r="F57" i="4" s="1"/>
  <c r="F141" i="2" s="1"/>
  <c r="F51" i="4"/>
  <c r="F52" i="4"/>
  <c r="F53" i="4"/>
  <c r="F50" i="4"/>
  <c r="C54" i="4"/>
  <c r="F54" i="4" s="1"/>
  <c r="B26" i="4"/>
  <c r="D26" i="4" s="1"/>
  <c r="F89" i="2" s="1"/>
  <c r="P39" i="4"/>
  <c r="F303" i="2" s="1"/>
  <c r="Q39" i="4"/>
  <c r="F311" i="2" s="1"/>
  <c r="R39" i="4"/>
  <c r="F319" i="2" s="1"/>
  <c r="S39" i="4"/>
  <c r="F369" i="2" s="1"/>
  <c r="T39" i="4"/>
  <c r="U39" i="4"/>
  <c r="F356" i="2" s="1"/>
  <c r="V39" i="4"/>
  <c r="F377" i="2" s="1"/>
  <c r="W39" i="4"/>
  <c r="X39" i="4"/>
  <c r="F427" i="2" s="1"/>
  <c r="Y39" i="4"/>
  <c r="Z39" i="4"/>
  <c r="AA39" i="4"/>
  <c r="AB39" i="4"/>
  <c r="AC39" i="4"/>
  <c r="AD39" i="4"/>
  <c r="AE39" i="4"/>
  <c r="F422" i="2" s="1"/>
  <c r="AF39" i="4"/>
  <c r="F410" i="2" s="1"/>
  <c r="AG39" i="4"/>
  <c r="F414" i="2" s="1"/>
  <c r="AH39" i="4"/>
  <c r="F418" i="2" s="1"/>
  <c r="AI39" i="4"/>
  <c r="F335" i="2" s="1"/>
  <c r="AJ39" i="4"/>
  <c r="F329" i="2" s="1"/>
  <c r="O39" i="4"/>
  <c r="F295" i="2" s="1"/>
  <c r="J39" i="4"/>
  <c r="K33" i="4"/>
  <c r="K34" i="4"/>
  <c r="K35" i="4"/>
  <c r="K36" i="4"/>
  <c r="K31" i="4"/>
  <c r="I33" i="4"/>
  <c r="I34" i="4"/>
  <c r="I35" i="4"/>
  <c r="I36" i="4"/>
  <c r="I31" i="4"/>
  <c r="F33" i="4"/>
  <c r="H33" i="4" s="1"/>
  <c r="F34" i="4"/>
  <c r="H34" i="4" s="1"/>
  <c r="F35" i="4"/>
  <c r="H35" i="4" s="1"/>
  <c r="F36" i="4"/>
  <c r="H36" i="4" s="1"/>
  <c r="F31" i="4"/>
  <c r="H31" i="4" s="1"/>
  <c r="D24" i="4"/>
  <c r="D23" i="4"/>
  <c r="D21" i="4"/>
  <c r="D20" i="4"/>
  <c r="D18" i="4"/>
  <c r="D17" i="4"/>
  <c r="D15" i="4"/>
  <c r="D14" i="4"/>
  <c r="B12" i="4"/>
  <c r="D12" i="4" s="1"/>
  <c r="B11" i="4"/>
  <c r="D11" i="4" s="1"/>
  <c r="D9" i="4"/>
  <c r="D8" i="4"/>
  <c r="F246" i="2" l="1"/>
  <c r="L1721" i="2"/>
  <c r="M1721" i="2" s="1"/>
  <c r="N1721" i="2" s="1"/>
  <c r="O1721" i="2" s="1"/>
  <c r="L1716" i="2"/>
  <c r="M1716" i="2" s="1"/>
  <c r="N1716" i="2" s="1"/>
  <c r="O1716" i="2" s="1"/>
  <c r="O1159" i="2"/>
  <c r="J66" i="3" s="1"/>
  <c r="H66" i="3" s="1"/>
  <c r="L1732" i="2"/>
  <c r="K1732" i="2"/>
  <c r="J71" i="3"/>
  <c r="J72" i="3"/>
  <c r="H72" i="3" s="1"/>
  <c r="K1090" i="2"/>
  <c r="M1090" i="2" s="1"/>
  <c r="N1090" i="2" s="1"/>
  <c r="O1090" i="2" s="1"/>
  <c r="M1393" i="2"/>
  <c r="N1393" i="2" s="1"/>
  <c r="O1393" i="2" s="1"/>
  <c r="M1060" i="2"/>
  <c r="N1060" i="2" s="1"/>
  <c r="O1060" i="2" s="1"/>
  <c r="L1111" i="2"/>
  <c r="K1111" i="2"/>
  <c r="F1130" i="2"/>
  <c r="K1121" i="2"/>
  <c r="L1121" i="2"/>
  <c r="M1387" i="2"/>
  <c r="N1387" i="2" s="1"/>
  <c r="O1387" i="2" s="1"/>
  <c r="K1066" i="2"/>
  <c r="L1066" i="2"/>
  <c r="K964" i="2"/>
  <c r="L964" i="2"/>
  <c r="L1398" i="2"/>
  <c r="K1398" i="2"/>
  <c r="K1146" i="2"/>
  <c r="L1146" i="2"/>
  <c r="K1149" i="2"/>
  <c r="L1149" i="2"/>
  <c r="O1258" i="2"/>
  <c r="H246" i="2"/>
  <c r="J246" i="2" s="1"/>
  <c r="M1230" i="2"/>
  <c r="N1230" i="2" s="1"/>
  <c r="O1230" i="2" s="1"/>
  <c r="M1223" i="2"/>
  <c r="N1223" i="2" s="1"/>
  <c r="O1223" i="2" s="1"/>
  <c r="L805" i="2"/>
  <c r="K805" i="2"/>
  <c r="K834" i="2"/>
  <c r="K998" i="2"/>
  <c r="L998" i="2"/>
  <c r="L193" i="2"/>
  <c r="K193" i="2"/>
  <c r="J809" i="2"/>
  <c r="K790" i="2"/>
  <c r="F92" i="2"/>
  <c r="L141" i="2"/>
  <c r="L813" i="2"/>
  <c r="K813" i="2"/>
  <c r="L206" i="2"/>
  <c r="K206" i="2"/>
  <c r="J817" i="2"/>
  <c r="J846" i="2"/>
  <c r="K846" i="2"/>
  <c r="M846" i="2" s="1"/>
  <c r="N846" i="2" s="1"/>
  <c r="O846" i="2" s="1"/>
  <c r="L1254" i="2"/>
  <c r="K1254" i="2"/>
  <c r="L1240" i="2"/>
  <c r="K1240" i="2"/>
  <c r="M1100" i="2"/>
  <c r="K335" i="2"/>
  <c r="L335" i="2"/>
  <c r="K89" i="2"/>
  <c r="L89" i="2"/>
  <c r="L472" i="2"/>
  <c r="K472" i="2"/>
  <c r="L729" i="2"/>
  <c r="K729" i="2"/>
  <c r="L180" i="2"/>
  <c r="K180" i="2"/>
  <c r="K522" i="2"/>
  <c r="L522" i="2"/>
  <c r="K809" i="2"/>
  <c r="L809" i="2"/>
  <c r="K949" i="2"/>
  <c r="L949" i="2"/>
  <c r="M1094" i="2"/>
  <c r="N1094" i="2" s="1"/>
  <c r="O1094" i="2" s="1"/>
  <c r="K329" i="2"/>
  <c r="L329" i="2"/>
  <c r="K817" i="2"/>
  <c r="L817" i="2"/>
  <c r="L735" i="2"/>
  <c r="K735" i="2"/>
  <c r="L166" i="2"/>
  <c r="K166" i="2"/>
  <c r="K219" i="2"/>
  <c r="L219" i="2"/>
  <c r="K461" i="2"/>
  <c r="L461" i="2"/>
  <c r="J674" i="2"/>
  <c r="J805" i="2"/>
  <c r="J813" i="2"/>
  <c r="K829" i="2"/>
  <c r="K395" i="2"/>
  <c r="M1103" i="2"/>
  <c r="N1103" i="2" s="1"/>
  <c r="O1103" i="2" s="1"/>
  <c r="M1250" i="2"/>
  <c r="N1250" i="2" s="1"/>
  <c r="O1250" i="2" s="1"/>
  <c r="F227" i="2"/>
  <c r="F95" i="2"/>
  <c r="F528" i="2"/>
  <c r="F525" i="2"/>
  <c r="O1446" i="2"/>
  <c r="I783" i="2"/>
  <c r="L783" i="2" s="1"/>
  <c r="G72" i="4"/>
  <c r="F478" i="2" s="1"/>
  <c r="F438" i="2"/>
  <c r="I72" i="4"/>
  <c r="H72" i="4"/>
  <c r="I790" i="2"/>
  <c r="L790" i="2" s="1"/>
  <c r="H783" i="2"/>
  <c r="I395" i="2"/>
  <c r="L395" i="2" s="1"/>
  <c r="I821" i="2"/>
  <c r="H388" i="2"/>
  <c r="I388" i="2"/>
  <c r="L388" i="2" s="1"/>
  <c r="F72" i="4"/>
  <c r="F287" i="2" s="1"/>
  <c r="I829" i="2"/>
  <c r="L829" i="2" s="1"/>
  <c r="I696" i="2"/>
  <c r="L696" i="2" s="1"/>
  <c r="I712" i="2"/>
  <c r="L712" i="2" s="1"/>
  <c r="H764" i="2"/>
  <c r="I940" i="2"/>
  <c r="H678" i="2"/>
  <c r="J678" i="2" s="1"/>
  <c r="I704" i="2"/>
  <c r="L704" i="2" s="1"/>
  <c r="I719" i="2"/>
  <c r="L719" i="2" s="1"/>
  <c r="I772" i="2"/>
  <c r="L772" i="2" s="1"/>
  <c r="H839" i="2"/>
  <c r="H712" i="2"/>
  <c r="J712" i="2" s="1"/>
  <c r="H751" i="2"/>
  <c r="H704" i="2"/>
  <c r="I751" i="2"/>
  <c r="L751" i="2" s="1"/>
  <c r="H719" i="2"/>
  <c r="K719" i="2" s="1"/>
  <c r="I764" i="2"/>
  <c r="L764" i="2" s="1"/>
  <c r="H772" i="2"/>
  <c r="J772" i="2" s="1"/>
  <c r="I834" i="2"/>
  <c r="L834" i="2" s="1"/>
  <c r="I839" i="2"/>
  <c r="L839" i="2" s="1"/>
  <c r="H696" i="2"/>
  <c r="J133" i="4"/>
  <c r="F546" i="2" s="1"/>
  <c r="F133" i="4"/>
  <c r="F678" i="2" s="1"/>
  <c r="F69" i="2"/>
  <c r="F121" i="4"/>
  <c r="F574" i="2" s="1"/>
  <c r="I133" i="4"/>
  <c r="F919" i="2" s="1"/>
  <c r="K133" i="4"/>
  <c r="F536" i="2" s="1"/>
  <c r="J111" i="4"/>
  <c r="F674" i="2" s="1"/>
  <c r="M111" i="4"/>
  <c r="F902" i="2" s="1"/>
  <c r="H39" i="4"/>
  <c r="D90" i="4"/>
  <c r="F510" i="2" s="1"/>
  <c r="D96" i="4"/>
  <c r="F516" i="2" s="1"/>
  <c r="L111" i="4"/>
  <c r="F908" i="2" s="1"/>
  <c r="D87" i="4"/>
  <c r="F506" i="2" s="1"/>
  <c r="F638" i="2" s="1"/>
  <c r="F111" i="4"/>
  <c r="F659" i="2" s="1"/>
  <c r="D81" i="4"/>
  <c r="F499" i="2" s="1"/>
  <c r="H105" i="4"/>
  <c r="H111" i="4" s="1"/>
  <c r="F665" i="2" s="1"/>
  <c r="F47" i="4"/>
  <c r="F266" i="2" s="1"/>
  <c r="D93" i="4"/>
  <c r="F513" i="2" s="1"/>
  <c r="I111" i="4"/>
  <c r="F913" i="2" s="1"/>
  <c r="K111" i="4"/>
  <c r="F644" i="2" s="1"/>
  <c r="F118" i="4"/>
  <c r="F571" i="2" s="1"/>
  <c r="D84" i="4"/>
  <c r="F503" i="2" s="1"/>
  <c r="F55" i="4"/>
  <c r="F144" i="2" s="1"/>
  <c r="F39" i="4"/>
  <c r="K39" i="4"/>
  <c r="F252" i="2" s="1"/>
  <c r="I39" i="4"/>
  <c r="D22" i="4"/>
  <c r="F80" i="2" s="1"/>
  <c r="D25" i="4"/>
  <c r="F83" i="2" s="1"/>
  <c r="D19" i="4"/>
  <c r="F77" i="2" s="1"/>
  <c r="D16" i="4"/>
  <c r="F73" i="2" s="1"/>
  <c r="D13" i="4"/>
  <c r="F66" i="2" s="1"/>
  <c r="D10" i="4"/>
  <c r="F62" i="2" s="1"/>
  <c r="O1221" i="2" l="1"/>
  <c r="J91" i="3"/>
  <c r="M1732" i="2"/>
  <c r="N1732" i="2" s="1"/>
  <c r="O1732" i="2" s="1"/>
  <c r="J92" i="3" s="1"/>
  <c r="D92" i="3" s="1"/>
  <c r="J75" i="3"/>
  <c r="H75" i="3" s="1"/>
  <c r="M1111" i="2"/>
  <c r="N1111" i="2" s="1"/>
  <c r="O1111" i="2" s="1"/>
  <c r="M1066" i="2"/>
  <c r="N1066" i="2" s="1"/>
  <c r="O1066" i="2" s="1"/>
  <c r="O1058" i="2" s="1"/>
  <c r="M1121" i="2"/>
  <c r="N1121" i="2" s="1"/>
  <c r="O1121" i="2" s="1"/>
  <c r="L902" i="2"/>
  <c r="K902" i="2"/>
  <c r="L1130" i="2"/>
  <c r="K1130" i="2"/>
  <c r="F1135" i="2"/>
  <c r="L638" i="2"/>
  <c r="K638" i="2"/>
  <c r="K908" i="2"/>
  <c r="L908" i="2"/>
  <c r="H71" i="3"/>
  <c r="K919" i="2"/>
  <c r="L919" i="2"/>
  <c r="M1398" i="2"/>
  <c r="N1398" i="2" s="1"/>
  <c r="O1398" i="2" s="1"/>
  <c r="M964" i="2"/>
  <c r="N964" i="2" s="1"/>
  <c r="O964" i="2" s="1"/>
  <c r="O960" i="2" s="1"/>
  <c r="J56" i="3" s="1"/>
  <c r="H56" i="3" s="1"/>
  <c r="M1146" i="2"/>
  <c r="N1146" i="2" s="1"/>
  <c r="O1146" i="2" s="1"/>
  <c r="M1149" i="2"/>
  <c r="N1149" i="2" s="1"/>
  <c r="O1149" i="2" s="1"/>
  <c r="L665" i="2"/>
  <c r="K665" i="2"/>
  <c r="K913" i="2"/>
  <c r="L913" i="2"/>
  <c r="L659" i="2"/>
  <c r="K659" i="2"/>
  <c r="M735" i="2"/>
  <c r="N735" i="2" s="1"/>
  <c r="O735" i="2" s="1"/>
  <c r="J704" i="2"/>
  <c r="M472" i="2"/>
  <c r="N472" i="2" s="1"/>
  <c r="O472" i="2" s="1"/>
  <c r="M89" i="2"/>
  <c r="N89" i="2" s="1"/>
  <c r="O89" i="2" s="1"/>
  <c r="M998" i="2"/>
  <c r="N998" i="2" s="1"/>
  <c r="O998" i="2" s="1"/>
  <c r="O989" i="2" s="1"/>
  <c r="M805" i="2"/>
  <c r="N805" i="2" s="1"/>
  <c r="O805" i="2" s="1"/>
  <c r="M180" i="2"/>
  <c r="N180" i="2" s="1"/>
  <c r="O180" i="2" s="1"/>
  <c r="M193" i="2"/>
  <c r="N193" i="2" s="1"/>
  <c r="O193" i="2" s="1"/>
  <c r="M834" i="2"/>
  <c r="N834" i="2" s="1"/>
  <c r="O834" i="2" s="1"/>
  <c r="J696" i="2"/>
  <c r="J751" i="2"/>
  <c r="M719" i="2"/>
  <c r="N719" i="2" s="1"/>
  <c r="O719" i="2" s="1"/>
  <c r="M729" i="2"/>
  <c r="N729" i="2" s="1"/>
  <c r="O729" i="2" s="1"/>
  <c r="J790" i="2"/>
  <c r="M461" i="2"/>
  <c r="M166" i="2"/>
  <c r="N166" i="2" s="1"/>
  <c r="O166" i="2" s="1"/>
  <c r="M1240" i="2"/>
  <c r="N1240" i="2" s="1"/>
  <c r="O1240" i="2" s="1"/>
  <c r="O1238" i="2" s="1"/>
  <c r="K252" i="2"/>
  <c r="L252" i="2"/>
  <c r="L506" i="2"/>
  <c r="K506" i="2"/>
  <c r="K95" i="2"/>
  <c r="L95" i="2"/>
  <c r="J829" i="2"/>
  <c r="K772" i="2"/>
  <c r="M772" i="2" s="1"/>
  <c r="N772" i="2" s="1"/>
  <c r="O772" i="2" s="1"/>
  <c r="K83" i="2"/>
  <c r="L83" i="2"/>
  <c r="L574" i="2"/>
  <c r="K574" i="2"/>
  <c r="J764" i="2"/>
  <c r="M395" i="2"/>
  <c r="M817" i="2"/>
  <c r="N817" i="2" s="1"/>
  <c r="O817" i="2" s="1"/>
  <c r="N1100" i="2"/>
  <c r="O1100" i="2" s="1"/>
  <c r="O1088" i="2" s="1"/>
  <c r="J63" i="3" s="1"/>
  <c r="L66" i="2"/>
  <c r="K66" i="2"/>
  <c r="L144" i="2"/>
  <c r="K516" i="2"/>
  <c r="L516" i="2"/>
  <c r="K674" i="2"/>
  <c r="L674" i="2"/>
  <c r="J719" i="2"/>
  <c r="K73" i="2"/>
  <c r="L73" i="2"/>
  <c r="L503" i="2"/>
  <c r="K503" i="2"/>
  <c r="K513" i="2"/>
  <c r="L513" i="2"/>
  <c r="K510" i="2"/>
  <c r="L510" i="2"/>
  <c r="L678" i="2"/>
  <c r="K678" i="2"/>
  <c r="K839" i="2"/>
  <c r="M839" i="2" s="1"/>
  <c r="N839" i="2" s="1"/>
  <c r="O839" i="2" s="1"/>
  <c r="J839" i="2"/>
  <c r="J388" i="2"/>
  <c r="M790" i="2"/>
  <c r="K438" i="2"/>
  <c r="L438" i="2"/>
  <c r="K246" i="2"/>
  <c r="L246" i="2"/>
  <c r="L227" i="2"/>
  <c r="K227" i="2"/>
  <c r="M829" i="2"/>
  <c r="N829" i="2" s="1"/>
  <c r="O829" i="2" s="1"/>
  <c r="M219" i="2"/>
  <c r="N219" i="2" s="1"/>
  <c r="O219" i="2" s="1"/>
  <c r="K764" i="2"/>
  <c r="M764" i="2" s="1"/>
  <c r="M329" i="2"/>
  <c r="N329" i="2" s="1"/>
  <c r="O329" i="2" s="1"/>
  <c r="M949" i="2"/>
  <c r="K751" i="2"/>
  <c r="M751" i="2" s="1"/>
  <c r="N751" i="2" s="1"/>
  <c r="O751" i="2" s="1"/>
  <c r="M335" i="2"/>
  <c r="M206" i="2"/>
  <c r="N206" i="2" s="1"/>
  <c r="O206" i="2" s="1"/>
  <c r="K92" i="2"/>
  <c r="L92" i="2"/>
  <c r="L77" i="2"/>
  <c r="K77" i="2"/>
  <c r="K571" i="2"/>
  <c r="L571" i="2"/>
  <c r="L266" i="2"/>
  <c r="K266" i="2"/>
  <c r="F555" i="2"/>
  <c r="K546" i="2"/>
  <c r="L546" i="2"/>
  <c r="L940" i="2"/>
  <c r="M940" i="2" s="1"/>
  <c r="N940" i="2" s="1"/>
  <c r="O940" i="2" s="1"/>
  <c r="J940" i="2"/>
  <c r="J821" i="2"/>
  <c r="L821" i="2"/>
  <c r="M821" i="2" s="1"/>
  <c r="N821" i="2" s="1"/>
  <c r="O821" i="2" s="1"/>
  <c r="L478" i="2"/>
  <c r="K478" i="2"/>
  <c r="K704" i="2"/>
  <c r="M704" i="2" s="1"/>
  <c r="N704" i="2" s="1"/>
  <c r="O704" i="2" s="1"/>
  <c r="K62" i="2"/>
  <c r="L62" i="2"/>
  <c r="K696" i="2"/>
  <c r="M696" i="2" s="1"/>
  <c r="N696" i="2" s="1"/>
  <c r="O696" i="2" s="1"/>
  <c r="M1254" i="2"/>
  <c r="K80" i="2"/>
  <c r="L80" i="2"/>
  <c r="L499" i="2"/>
  <c r="K499" i="2"/>
  <c r="L69" i="2"/>
  <c r="K69" i="2"/>
  <c r="J783" i="2"/>
  <c r="L241" i="2"/>
  <c r="J395" i="2"/>
  <c r="M809" i="2"/>
  <c r="N809" i="2" s="1"/>
  <c r="O809" i="2" s="1"/>
  <c r="M522" i="2"/>
  <c r="N522" i="2" s="1"/>
  <c r="O522" i="2" s="1"/>
  <c r="K783" i="2"/>
  <c r="M783" i="2" s="1"/>
  <c r="K388" i="2"/>
  <c r="M388" i="2" s="1"/>
  <c r="M813" i="2"/>
  <c r="K712" i="2"/>
  <c r="M712" i="2" s="1"/>
  <c r="J834" i="2"/>
  <c r="L536" i="2"/>
  <c r="K536" i="2"/>
  <c r="J57" i="3"/>
  <c r="H57" i="3" s="1"/>
  <c r="F560" i="2"/>
  <c r="F272" i="2"/>
  <c r="F278" i="2"/>
  <c r="O1712" i="2" l="1"/>
  <c r="J68" i="3"/>
  <c r="H68" i="3" s="1"/>
  <c r="D91" i="3"/>
  <c r="J67" i="3"/>
  <c r="H67" i="3" s="1"/>
  <c r="M902" i="2"/>
  <c r="N902" i="2" s="1"/>
  <c r="O902" i="2" s="1"/>
  <c r="M1130" i="2"/>
  <c r="N1130" i="2" s="1"/>
  <c r="O1130" i="2" s="1"/>
  <c r="M908" i="2"/>
  <c r="N908" i="2" s="1"/>
  <c r="O908" i="2" s="1"/>
  <c r="M638" i="2"/>
  <c r="N638" i="2" s="1"/>
  <c r="O638" i="2" s="1"/>
  <c r="O1710" i="2"/>
  <c r="L644" i="2"/>
  <c r="K644" i="2"/>
  <c r="M919" i="2"/>
  <c r="K1135" i="2"/>
  <c r="L1135" i="2"/>
  <c r="M659" i="2"/>
  <c r="N659" i="2" s="1"/>
  <c r="O659" i="2" s="1"/>
  <c r="M913" i="2"/>
  <c r="N913" i="2" s="1"/>
  <c r="O913" i="2" s="1"/>
  <c r="M665" i="2"/>
  <c r="N665" i="2" s="1"/>
  <c r="O665" i="2" s="1"/>
  <c r="M62" i="2"/>
  <c r="N62" i="2" s="1"/>
  <c r="O62" i="2" s="1"/>
  <c r="N461" i="2"/>
  <c r="O461" i="2" s="1"/>
  <c r="M80" i="2"/>
  <c r="N80" i="2" s="1"/>
  <c r="O80" i="2" s="1"/>
  <c r="M546" i="2"/>
  <c r="N546" i="2" s="1"/>
  <c r="O546" i="2" s="1"/>
  <c r="M438" i="2"/>
  <c r="N438" i="2" s="1"/>
  <c r="O438" i="2" s="1"/>
  <c r="M510" i="2"/>
  <c r="N510" i="2" s="1"/>
  <c r="O510" i="2" s="1"/>
  <c r="M499" i="2"/>
  <c r="N499" i="2" s="1"/>
  <c r="O499" i="2" s="1"/>
  <c r="M478" i="2"/>
  <c r="N478" i="2" s="1"/>
  <c r="O478" i="2" s="1"/>
  <c r="M92" i="2"/>
  <c r="N92" i="2" s="1"/>
  <c r="O92" i="2" s="1"/>
  <c r="M246" i="2"/>
  <c r="N246" i="2" s="1"/>
  <c r="O246" i="2" s="1"/>
  <c r="M678" i="2"/>
  <c r="N678" i="2" s="1"/>
  <c r="O678" i="2" s="1"/>
  <c r="M73" i="2"/>
  <c r="N73" i="2" s="1"/>
  <c r="O73" i="2" s="1"/>
  <c r="M674" i="2"/>
  <c r="N674" i="2" s="1"/>
  <c r="O674" i="2" s="1"/>
  <c r="M66" i="2"/>
  <c r="N66" i="2" s="1"/>
  <c r="O66" i="2" s="1"/>
  <c r="M95" i="2"/>
  <c r="N95" i="2" s="1"/>
  <c r="O95" i="2" s="1"/>
  <c r="M266" i="2"/>
  <c r="N266" i="2" s="1"/>
  <c r="O266" i="2" s="1"/>
  <c r="M77" i="2"/>
  <c r="N77" i="2" s="1"/>
  <c r="O77" i="2" s="1"/>
  <c r="M83" i="2"/>
  <c r="N83" i="2" s="1"/>
  <c r="O83" i="2" s="1"/>
  <c r="N764" i="2"/>
  <c r="O764" i="2" s="1"/>
  <c r="N388" i="2"/>
  <c r="O388" i="2" s="1"/>
  <c r="N712" i="2"/>
  <c r="O712" i="2" s="1"/>
  <c r="N790" i="2"/>
  <c r="O790" i="2" s="1"/>
  <c r="N783" i="2"/>
  <c r="O783" i="2" s="1"/>
  <c r="L272" i="2"/>
  <c r="N1254" i="2"/>
  <c r="O1254" i="2" s="1"/>
  <c r="O1248" i="2" s="1"/>
  <c r="J58" i="3"/>
  <c r="H58" i="3" s="1"/>
  <c r="M513" i="2"/>
  <c r="N513" i="2" s="1"/>
  <c r="O513" i="2" s="1"/>
  <c r="M506" i="2"/>
  <c r="K560" i="2"/>
  <c r="L560" i="2"/>
  <c r="M69" i="2"/>
  <c r="N69" i="2" s="1"/>
  <c r="O69" i="2" s="1"/>
  <c r="N335" i="2"/>
  <c r="O335" i="2" s="1"/>
  <c r="M227" i="2"/>
  <c r="N227" i="2" s="1"/>
  <c r="O227" i="2" s="1"/>
  <c r="O149" i="2" s="1"/>
  <c r="M503" i="2"/>
  <c r="M516" i="2"/>
  <c r="N516" i="2" s="1"/>
  <c r="O516" i="2" s="1"/>
  <c r="N395" i="2"/>
  <c r="O395" i="2" s="1"/>
  <c r="M574" i="2"/>
  <c r="N574" i="2" s="1"/>
  <c r="O574" i="2" s="1"/>
  <c r="M252" i="2"/>
  <c r="K278" i="2"/>
  <c r="L278" i="2"/>
  <c r="K555" i="2"/>
  <c r="L555" i="2"/>
  <c r="N949" i="2"/>
  <c r="O949" i="2" s="1"/>
  <c r="O947" i="2" s="1"/>
  <c r="J55" i="3" s="1"/>
  <c r="H55" i="3" s="1"/>
  <c r="N813" i="2"/>
  <c r="O813" i="2" s="1"/>
  <c r="M571" i="2"/>
  <c r="M536" i="2"/>
  <c r="N536" i="2" s="1"/>
  <c r="O536" i="2" s="1"/>
  <c r="H63" i="3"/>
  <c r="O938" i="2"/>
  <c r="C37" i="1" s="1"/>
  <c r="O1142" i="2"/>
  <c r="O1014" i="2"/>
  <c r="J65" i="3" l="1"/>
  <c r="H65" i="3" s="1"/>
  <c r="J69" i="3"/>
  <c r="H69" i="3" s="1"/>
  <c r="C42" i="1"/>
  <c r="J90" i="3"/>
  <c r="M1135" i="2"/>
  <c r="N1135" i="2" s="1"/>
  <c r="O1135" i="2" s="1"/>
  <c r="O1107" i="2" s="1"/>
  <c r="J64" i="3" s="1"/>
  <c r="M644" i="2"/>
  <c r="N644" i="2" s="1"/>
  <c r="O644" i="2" s="1"/>
  <c r="O636" i="2" s="1"/>
  <c r="N919" i="2"/>
  <c r="O919" i="2" s="1"/>
  <c r="O900" i="2" s="1"/>
  <c r="O657" i="2"/>
  <c r="M560" i="2"/>
  <c r="N560" i="2" s="1"/>
  <c r="O560" i="2" s="1"/>
  <c r="N252" i="2"/>
  <c r="O252" i="2" s="1"/>
  <c r="N571" i="2"/>
  <c r="O571" i="2" s="1"/>
  <c r="O567" i="2" s="1"/>
  <c r="C29" i="1" s="1"/>
  <c r="M555" i="2"/>
  <c r="M278" i="2"/>
  <c r="N506" i="2"/>
  <c r="O506" i="2" s="1"/>
  <c r="N503" i="2"/>
  <c r="O503" i="2" s="1"/>
  <c r="J59" i="3"/>
  <c r="H59" i="3" s="1"/>
  <c r="O945" i="2"/>
  <c r="J54" i="3" s="1"/>
  <c r="O672" i="2"/>
  <c r="J44" i="3" s="1"/>
  <c r="J51" i="3"/>
  <c r="F51" i="3" s="1"/>
  <c r="J60" i="3"/>
  <c r="H60" i="3" s="1"/>
  <c r="O1385" i="2"/>
  <c r="J48" i="3"/>
  <c r="O682" i="2"/>
  <c r="J47" i="3"/>
  <c r="J73" i="3" l="1"/>
  <c r="H73" i="3" s="1"/>
  <c r="N278" i="2"/>
  <c r="O278" i="2" s="1"/>
  <c r="N555" i="2"/>
  <c r="O555" i="2" s="1"/>
  <c r="O532" i="2" s="1"/>
  <c r="C28" i="1" s="1"/>
  <c r="C33" i="1"/>
  <c r="C31" i="1"/>
  <c r="H64" i="3"/>
  <c r="O1086" i="2"/>
  <c r="J62" i="3" s="1"/>
  <c r="C38" i="1"/>
  <c r="F44" i="3"/>
  <c r="J50" i="3"/>
  <c r="C36" i="1"/>
  <c r="J40" i="3"/>
  <c r="O497" i="2"/>
  <c r="C34" i="1"/>
  <c r="C32" i="1"/>
  <c r="J43" i="3"/>
  <c r="J39" i="3" l="1"/>
  <c r="D39" i="3" s="1"/>
  <c r="J42" i="3"/>
  <c r="F42" i="3" s="1"/>
  <c r="C39" i="1"/>
  <c r="C27" i="1"/>
  <c r="J38" i="3"/>
  <c r="D38" i="3" s="1"/>
  <c r="D40" i="3"/>
  <c r="F43" i="3"/>
  <c r="F50" i="3"/>
  <c r="F40" i="3"/>
  <c r="F455" i="2" l="1"/>
  <c r="F116" i="2"/>
  <c r="F106" i="2"/>
  <c r="B13" i="3"/>
  <c r="B14" i="3"/>
  <c r="A16" i="3"/>
  <c r="B16" i="3"/>
  <c r="D6" i="2"/>
  <c r="D7" i="2"/>
  <c r="D7" i="3" s="1"/>
  <c r="D8" i="2"/>
  <c r="D8" i="3" s="1"/>
  <c r="D142" i="2"/>
  <c r="H142" i="2"/>
  <c r="H141" i="2" s="1"/>
  <c r="D145" i="2"/>
  <c r="H145" i="2"/>
  <c r="H144" i="2" s="1"/>
  <c r="D242" i="2"/>
  <c r="H242" i="2"/>
  <c r="H241" i="2" s="1"/>
  <c r="H274" i="2"/>
  <c r="H275" i="2"/>
  <c r="H276" i="2"/>
  <c r="D288" i="2"/>
  <c r="H288" i="2"/>
  <c r="H289" i="2"/>
  <c r="I289" i="2"/>
  <c r="I287" i="2" s="1"/>
  <c r="L287" i="2" s="1"/>
  <c r="I296" i="2"/>
  <c r="I297" i="2"/>
  <c r="H298" i="2"/>
  <c r="H299" i="2"/>
  <c r="H300" i="2"/>
  <c r="H301" i="2"/>
  <c r="H306" i="2"/>
  <c r="H307" i="2"/>
  <c r="H308" i="2"/>
  <c r="H309" i="2"/>
  <c r="H314" i="2"/>
  <c r="H315" i="2"/>
  <c r="H316" i="2"/>
  <c r="H317" i="2"/>
  <c r="H322" i="2"/>
  <c r="H323" i="2"/>
  <c r="H324" i="2"/>
  <c r="H325" i="2"/>
  <c r="H359" i="2"/>
  <c r="H360" i="2"/>
  <c r="H361" i="2"/>
  <c r="H362" i="2"/>
  <c r="H363" i="2"/>
  <c r="H364" i="2"/>
  <c r="H365" i="2"/>
  <c r="H366" i="2"/>
  <c r="H367" i="2"/>
  <c r="H372" i="2"/>
  <c r="H374" i="2"/>
  <c r="H380" i="2"/>
  <c r="H381" i="2"/>
  <c r="H382" i="2"/>
  <c r="H383" i="2"/>
  <c r="H384" i="2"/>
  <c r="H385" i="2"/>
  <c r="H386" i="2"/>
  <c r="I410" i="2"/>
  <c r="L410" i="2" s="1"/>
  <c r="D412" i="2"/>
  <c r="H412" i="2"/>
  <c r="H410" i="2" s="1"/>
  <c r="I414" i="2"/>
  <c r="L414" i="2" s="1"/>
  <c r="D416" i="2"/>
  <c r="H416" i="2"/>
  <c r="H414" i="2" s="1"/>
  <c r="I418" i="2"/>
  <c r="L418" i="2" s="1"/>
  <c r="D420" i="2"/>
  <c r="H420" i="2"/>
  <c r="H418" i="2" s="1"/>
  <c r="I422" i="2"/>
  <c r="L422" i="2" s="1"/>
  <c r="D424" i="2"/>
  <c r="H424" i="2"/>
  <c r="H422" i="2" s="1"/>
  <c r="H430" i="2"/>
  <c r="H431" i="2"/>
  <c r="H446" i="2"/>
  <c r="H443" i="2" s="1"/>
  <c r="D451" i="2"/>
  <c r="H451" i="2"/>
  <c r="H452" i="2"/>
  <c r="H453" i="2"/>
  <c r="I455" i="2"/>
  <c r="D457" i="2"/>
  <c r="H457" i="2"/>
  <c r="H455" i="2" s="1"/>
  <c r="H351" i="2"/>
  <c r="D352" i="2"/>
  <c r="H352" i="2"/>
  <c r="A6" i="1"/>
  <c r="A7" i="1"/>
  <c r="A8" i="1"/>
  <c r="H348" i="2" l="1"/>
  <c r="J348" i="2" s="1"/>
  <c r="J455" i="2"/>
  <c r="K443" i="2"/>
  <c r="J414" i="2"/>
  <c r="K414" i="2"/>
  <c r="M414" i="2" s="1"/>
  <c r="H272" i="2"/>
  <c r="L106" i="2"/>
  <c r="K106" i="2"/>
  <c r="J418" i="2"/>
  <c r="K418" i="2"/>
  <c r="M418" i="2" s="1"/>
  <c r="N418" i="2" s="1"/>
  <c r="O418" i="2" s="1"/>
  <c r="J241" i="2"/>
  <c r="K241" i="2"/>
  <c r="M241" i="2" s="1"/>
  <c r="N241" i="2" s="1"/>
  <c r="O241" i="2" s="1"/>
  <c r="J141" i="2"/>
  <c r="K141" i="2"/>
  <c r="M141" i="2" s="1"/>
  <c r="N141" i="2" s="1"/>
  <c r="O141" i="2" s="1"/>
  <c r="F125" i="2"/>
  <c r="K116" i="2"/>
  <c r="L116" i="2"/>
  <c r="K348" i="2"/>
  <c r="M348" i="2" s="1"/>
  <c r="N348" i="2" s="1"/>
  <c r="O348" i="2" s="1"/>
  <c r="J410" i="2"/>
  <c r="K410" i="2"/>
  <c r="M410" i="2" s="1"/>
  <c r="N410" i="2" s="1"/>
  <c r="O410" i="2" s="1"/>
  <c r="J144" i="2"/>
  <c r="K144" i="2"/>
  <c r="M144" i="2" s="1"/>
  <c r="N144" i="2" s="1"/>
  <c r="O144" i="2" s="1"/>
  <c r="J422" i="2"/>
  <c r="K422" i="2"/>
  <c r="M422" i="2" s="1"/>
  <c r="N422" i="2" s="1"/>
  <c r="O422" i="2" s="1"/>
  <c r="K455" i="2"/>
  <c r="L455" i="2"/>
  <c r="L16" i="2"/>
  <c r="M16" i="2" s="1"/>
  <c r="N16" i="2" s="1"/>
  <c r="O16" i="2" s="1"/>
  <c r="O14" i="2" s="1"/>
  <c r="J16" i="2"/>
  <c r="I377" i="2"/>
  <c r="L377" i="2" s="1"/>
  <c r="H369" i="2"/>
  <c r="H287" i="2"/>
  <c r="I448" i="2"/>
  <c r="L448" i="2" s="1"/>
  <c r="I443" i="2"/>
  <c r="L443" i="2" s="1"/>
  <c r="I427" i="2"/>
  <c r="L427" i="2" s="1"/>
  <c r="I295" i="2"/>
  <c r="L295" i="2" s="1"/>
  <c r="I356" i="2"/>
  <c r="L356" i="2" s="1"/>
  <c r="I319" i="2"/>
  <c r="L319" i="2" s="1"/>
  <c r="I303" i="2"/>
  <c r="L303" i="2" s="1"/>
  <c r="I311" i="2"/>
  <c r="L311" i="2" s="1"/>
  <c r="H319" i="2"/>
  <c r="H377" i="2"/>
  <c r="H427" i="2"/>
  <c r="I369" i="2"/>
  <c r="L369" i="2" s="1"/>
  <c r="L39" i="4"/>
  <c r="F467" i="2" s="1"/>
  <c r="H448" i="2"/>
  <c r="H311" i="2"/>
  <c r="H356" i="2"/>
  <c r="H295" i="2"/>
  <c r="H303" i="2"/>
  <c r="J443" i="2" l="1"/>
  <c r="M116" i="2"/>
  <c r="N116" i="2" s="1"/>
  <c r="O116" i="2" s="1"/>
  <c r="M455" i="2"/>
  <c r="N455" i="2" s="1"/>
  <c r="O455" i="2" s="1"/>
  <c r="J311" i="2"/>
  <c r="K311" i="2"/>
  <c r="M311" i="2" s="1"/>
  <c r="F130" i="2"/>
  <c r="L125" i="2"/>
  <c r="K125" i="2"/>
  <c r="K448" i="2"/>
  <c r="M448" i="2" s="1"/>
  <c r="N448" i="2" s="1"/>
  <c r="O448" i="2" s="1"/>
  <c r="J448" i="2"/>
  <c r="J295" i="2"/>
  <c r="K295" i="2"/>
  <c r="M295" i="2" s="1"/>
  <c r="L467" i="2"/>
  <c r="K467" i="2"/>
  <c r="J319" i="2"/>
  <c r="K319" i="2"/>
  <c r="M319" i="2" s="1"/>
  <c r="J356" i="2"/>
  <c r="K356" i="2"/>
  <c r="M356" i="2" s="1"/>
  <c r="N356" i="2" s="1"/>
  <c r="O356" i="2" s="1"/>
  <c r="J287" i="2"/>
  <c r="K287" i="2"/>
  <c r="M287" i="2" s="1"/>
  <c r="J427" i="2"/>
  <c r="K427" i="2"/>
  <c r="M427" i="2" s="1"/>
  <c r="N427" i="2" s="1"/>
  <c r="O427" i="2" s="1"/>
  <c r="J369" i="2"/>
  <c r="K369" i="2"/>
  <c r="M369" i="2" s="1"/>
  <c r="N369" i="2" s="1"/>
  <c r="O369" i="2" s="1"/>
  <c r="M106" i="2"/>
  <c r="J303" i="2"/>
  <c r="K303" i="2"/>
  <c r="M303" i="2" s="1"/>
  <c r="J377" i="2"/>
  <c r="K377" i="2"/>
  <c r="M377" i="2" s="1"/>
  <c r="N377" i="2" s="1"/>
  <c r="O377" i="2" s="1"/>
  <c r="N414" i="2"/>
  <c r="O414" i="2" s="1"/>
  <c r="J272" i="2"/>
  <c r="K272" i="2"/>
  <c r="M272" i="2" s="1"/>
  <c r="N272" i="2" s="1"/>
  <c r="O272" i="2" s="1"/>
  <c r="M443" i="2"/>
  <c r="N443" i="2" s="1"/>
  <c r="O443" i="2" s="1"/>
  <c r="J13" i="3"/>
  <c r="D13" i="3" s="1"/>
  <c r="O488" i="2"/>
  <c r="O28" i="2"/>
  <c r="J16" i="3" s="1"/>
  <c r="H18" i="3"/>
  <c r="F18" i="3"/>
  <c r="M467" i="2" l="1"/>
  <c r="N467" i="2" s="1"/>
  <c r="O467" i="2" s="1"/>
  <c r="N303" i="2"/>
  <c r="O303" i="2" s="1"/>
  <c r="N106" i="2"/>
  <c r="O106" i="2" s="1"/>
  <c r="N295" i="2"/>
  <c r="O295" i="2" s="1"/>
  <c r="N311" i="2"/>
  <c r="O311" i="2" s="1"/>
  <c r="N319" i="2"/>
  <c r="O319" i="2" s="1"/>
  <c r="M125" i="2"/>
  <c r="N287" i="2"/>
  <c r="O287" i="2" s="1"/>
  <c r="K130" i="2"/>
  <c r="L130" i="2"/>
  <c r="H13" i="3"/>
  <c r="F13" i="3"/>
  <c r="D20" i="3"/>
  <c r="H20" i="3"/>
  <c r="F20" i="3"/>
  <c r="O137" i="2"/>
  <c r="C25" i="1"/>
  <c r="J35" i="3"/>
  <c r="F35" i="3" s="1"/>
  <c r="J14" i="3"/>
  <c r="D14" i="3" s="1"/>
  <c r="F17" i="3"/>
  <c r="O239" i="2"/>
  <c r="J27" i="3" s="1"/>
  <c r="F47" i="3"/>
  <c r="N125" i="2" l="1"/>
  <c r="O125" i="2" s="1"/>
  <c r="M130" i="2"/>
  <c r="N130" i="2" s="1"/>
  <c r="O130" i="2" s="1"/>
  <c r="J32" i="3"/>
  <c r="F32" i="3" s="1"/>
  <c r="D17" i="3"/>
  <c r="H17" i="3"/>
  <c r="C19" i="1"/>
  <c r="F27" i="3"/>
  <c r="C12" i="1"/>
  <c r="J33" i="3"/>
  <c r="F33" i="3" s="1"/>
  <c r="C13" i="1"/>
  <c r="O60" i="2"/>
  <c r="J26" i="3"/>
  <c r="O285" i="2"/>
  <c r="J30" i="3" s="1"/>
  <c r="J12" i="3" l="1"/>
  <c r="J23" i="3"/>
  <c r="D23" i="3" s="1"/>
  <c r="C15" i="1"/>
  <c r="C22" i="1"/>
  <c r="F30" i="3"/>
  <c r="C18" i="1"/>
  <c r="D26" i="3"/>
  <c r="J25" i="3"/>
  <c r="O291" i="2"/>
  <c r="O264" i="2"/>
  <c r="O459" i="2"/>
  <c r="J29" i="3" l="1"/>
  <c r="F29" i="3" s="1"/>
  <c r="C24" i="1"/>
  <c r="J34" i="3"/>
  <c r="F34" i="3" s="1"/>
  <c r="F48" i="3"/>
  <c r="D25" i="3"/>
  <c r="F25" i="3"/>
  <c r="F26" i="3"/>
  <c r="C17" i="1"/>
  <c r="C21" i="1"/>
  <c r="C23" i="1"/>
  <c r="O102" i="2"/>
  <c r="J24" i="3" l="1"/>
  <c r="C16" i="1"/>
  <c r="D24" i="3" l="1"/>
  <c r="O244" i="2" l="1"/>
  <c r="O58" i="2" s="1"/>
  <c r="J28" i="3" l="1"/>
  <c r="F28" i="3" s="1"/>
  <c r="C20" i="1"/>
  <c r="C14" i="1" l="1"/>
  <c r="J22" i="3"/>
  <c r="D16" i="1" l="1"/>
  <c r="D21" i="1"/>
  <c r="D17" i="1"/>
  <c r="D20" i="1"/>
  <c r="D25" i="1"/>
  <c r="D18" i="1"/>
  <c r="D22" i="1"/>
  <c r="D24" i="1"/>
  <c r="D23" i="1"/>
  <c r="D15" i="1"/>
  <c r="D19" i="1"/>
  <c r="J631" i="2"/>
  <c r="K631" i="2"/>
  <c r="M631" i="2" s="1"/>
  <c r="N631" i="2" l="1"/>
  <c r="O631" i="2" s="1"/>
  <c r="O579" i="2" s="1"/>
  <c r="C30" i="1" l="1"/>
  <c r="O495" i="2"/>
  <c r="J41" i="3"/>
  <c r="J37" i="3" l="1"/>
  <c r="C26" i="1"/>
  <c r="F41" i="3"/>
  <c r="F106" i="3" s="1"/>
  <c r="D41" i="3"/>
  <c r="D106" i="3" s="1"/>
  <c r="D34" i="1" l="1"/>
  <c r="D36" i="1"/>
  <c r="D29" i="1"/>
  <c r="D28" i="1"/>
  <c r="D27" i="1"/>
  <c r="D33" i="1"/>
  <c r="D31" i="1"/>
  <c r="D32" i="1"/>
  <c r="D35" i="1"/>
  <c r="D37" i="1"/>
  <c r="D30" i="1"/>
  <c r="C50" i="1" l="1"/>
  <c r="D45" i="1" s="1"/>
  <c r="J100" i="3" l="1"/>
  <c r="D48" i="1" l="1"/>
  <c r="D47" i="1"/>
  <c r="D44" i="1"/>
  <c r="D39" i="1"/>
  <c r="D42" i="1"/>
  <c r="D14" i="1"/>
  <c r="D13" i="1"/>
  <c r="D26" i="1"/>
  <c r="D12" i="1"/>
  <c r="D38" i="1"/>
  <c r="D43" i="1"/>
  <c r="D41" i="1"/>
  <c r="D40" i="1"/>
  <c r="D46" i="1"/>
  <c r="J101" i="3"/>
  <c r="H101" i="3" s="1"/>
  <c r="H106" i="3" s="1"/>
  <c r="J106" i="3"/>
  <c r="D50" i="1" l="1"/>
  <c r="E106" i="3"/>
  <c r="C106" i="3"/>
  <c r="K106" i="3"/>
  <c r="G106" i="3"/>
</calcChain>
</file>

<file path=xl/sharedStrings.xml><?xml version="1.0" encoding="utf-8"?>
<sst xmlns="http://schemas.openxmlformats.org/spreadsheetml/2006/main" count="6443" uniqueCount="1455">
  <si>
    <r>
      <rPr>
        <b/>
        <sz val="8"/>
        <rFont val="Arial"/>
        <family val="2"/>
      </rPr>
      <t>Caixa sifonada PVC 100X100X50mm</t>
    </r>
    <r>
      <rPr>
        <sz val="8"/>
        <rFont val="Arial"/>
        <family val="2"/>
      </rPr>
      <t xml:space="preserve">  - com grelha redonda branca - fornecimento e instalação - uma por instalação sanitária ou copa.</t>
    </r>
  </si>
  <si>
    <r>
      <rPr>
        <b/>
        <sz val="8"/>
        <rFont val="Arial"/>
        <family val="2"/>
      </rPr>
      <t>LOCACAO MENSAL DE ANDAIME METALICO TIPO FACHADEIRO</t>
    </r>
    <r>
      <rPr>
        <sz val="8"/>
        <rFont val="Arial"/>
        <family val="2"/>
      </rPr>
      <t xml:space="preserve"> - inclusive montagem e desmontagem
</t>
    </r>
  </si>
  <si>
    <t>ANDAIMES</t>
  </si>
  <si>
    <t>quantidade</t>
  </si>
  <si>
    <r>
      <rPr>
        <b/>
        <sz val="8"/>
        <rFont val="Arial"/>
        <family val="2"/>
      </rPr>
      <t>FORRO DE GESSO ACARTONADO REMOVÍVEL,</t>
    </r>
    <r>
      <rPr>
        <sz val="8"/>
        <rFont val="Arial"/>
        <family val="2"/>
      </rPr>
      <t xml:space="preserve"> com película vinílica branca, apoiados em perfis metálicos tipo "T" suspensos por pendurais rígidos (comprimento: 0,65 m / espessura: 9,0 mm / largura: 0,65 m) - instalado, inclusive acabamentos de borda e acessórios.</t>
    </r>
  </si>
  <si>
    <t>TRIBUNAL REGIONAL DO TRABALHO 9 REGIÃO</t>
  </si>
  <si>
    <t>VERGAS (concreto)</t>
  </si>
  <si>
    <t>VERGA (forma)</t>
  </si>
  <si>
    <t>Rodapé Santa Luzia Moderna 478 15mm x 5cm x 2,40m (Barra) Branco</t>
  </si>
  <si>
    <t>15410.8.3.3</t>
  </si>
  <si>
    <t>Anel de vedação vaso sanitário</t>
  </si>
  <si>
    <t>Tubo de latão com canopla acabamento cromado para ligação de bacia sanitária Ø 1 1/2" x 25 cm</t>
  </si>
  <si>
    <t>Bolsa de borracha de ligação para vaso santário Ø 1 1/2"</t>
  </si>
  <si>
    <t>Bacia de louça PNE - linha conforto V. Plus ou similar</t>
  </si>
  <si>
    <t>Assento  poliéster para bacia PNE</t>
  </si>
  <si>
    <t>Torneira de pressão para pia longa de parede - linha prata 50 parede</t>
  </si>
  <si>
    <t>MÊS 01</t>
  </si>
  <si>
    <t>Valor
(R$)</t>
  </si>
  <si>
    <t>MÊS 02</t>
  </si>
  <si>
    <t>MÊS 03</t>
  </si>
  <si>
    <t>% 
TOTAL</t>
  </si>
  <si>
    <t>1.2</t>
  </si>
  <si>
    <t>74138/3</t>
  </si>
  <si>
    <t>INSTALAÇÃO DO CANTEIRO DE OBRAS</t>
  </si>
  <si>
    <t>15110.8.3.1</t>
  </si>
  <si>
    <t>Tubo de aço galvanizado com costura água/gás/fluídos não corrosivos ao aço e zinco (diâmetro da seção: 1 1/2")</t>
  </si>
  <si>
    <t>Composição própria</t>
  </si>
  <si>
    <t>M²</t>
  </si>
  <si>
    <t>cotação</t>
  </si>
  <si>
    <t>Argamassa mista de cimento, cal hidratada e areia sem peneirar traço 1:1:4</t>
  </si>
  <si>
    <t>Servente</t>
  </si>
  <si>
    <t>09635.8.13.2</t>
  </si>
  <si>
    <t>REGISTROS - GAVETA COM ACABAMENTO CROMADO</t>
  </si>
  <si>
    <t>74174/1</t>
  </si>
  <si>
    <t>74176/1</t>
  </si>
  <si>
    <t>Fita de vedação para tubos e conexões roscáveis (comprimento: 50 m / largura: 18 mm)</t>
  </si>
  <si>
    <t>Massa para vidro comum</t>
  </si>
  <si>
    <t>CAIXAS</t>
  </si>
  <si>
    <t xml:space="preserve">LOUÇAS </t>
  </si>
  <si>
    <t>TCPO PINI</t>
  </si>
  <si>
    <t>15410.8.3.2</t>
  </si>
  <si>
    <t>ud</t>
  </si>
  <si>
    <t>h</t>
  </si>
  <si>
    <t>Encanador</t>
  </si>
  <si>
    <t>Joelho 90° PBV de PVC branco para esgoto série normal (diâmetro da seção: 75,00 m m)</t>
  </si>
  <si>
    <t>Parafuso cromado (comprimento: 2 1/2 " / diâmetro nominal: 1/4 ")</t>
  </si>
  <si>
    <t>Engate flexível de pvc para entrada de água (comprimento: 300 mm / diâmetro da seção: 1/2 ")</t>
  </si>
  <si>
    <t>Bucha de nylon com parafuso auto atarraxante cabeça panela, fenda simples (comprimento: 50 mm / diâmetro nominal da bucha: 8 mm / diâmetro nominal do parafuso: 5,5 mm)</t>
  </si>
  <si>
    <t>kg</t>
  </si>
  <si>
    <t>Sifão metálico para lavatório (diâmetro de entrada: 1 " / diâmetro de saída: 1 1/2 " / tipo de acabamento: CROMADO )</t>
  </si>
  <si>
    <t>Válvula de escoamento metálica para lavatório / bidê (diâmetro de entrada: 1 " / tipo de acabamento: cromado)</t>
  </si>
  <si>
    <t>Pedreiro</t>
  </si>
  <si>
    <t>15410.8.14.3</t>
  </si>
  <si>
    <t>Lavatório de louça suspenso e coluna</t>
  </si>
  <si>
    <t>METAIS</t>
  </si>
  <si>
    <t>composição própria</t>
  </si>
  <si>
    <t>m</t>
  </si>
  <si>
    <t>pç</t>
  </si>
  <si>
    <t>m²</t>
  </si>
  <si>
    <t>15410.8.27.1</t>
  </si>
  <si>
    <t>Barra de apoio para lavatório de portadores de necessidades especiais, em inox escovado 54 cm x 40 cm</t>
  </si>
  <si>
    <t>Barra de apoio para portadores de necessidades especiais, reta, em inóx escovado (comprimento: 800 mm / diâmetro: 1 1/4 ")</t>
  </si>
  <si>
    <t>UNID.</t>
  </si>
  <si>
    <t>QUANT./COEF.</t>
  </si>
  <si>
    <t>BDI (R$)</t>
  </si>
  <si>
    <t>DATA:</t>
  </si>
  <si>
    <t>OBRA:</t>
  </si>
  <si>
    <t>ENDEREÇO:</t>
  </si>
  <si>
    <t>BDI:</t>
  </si>
  <si>
    <t>LOCAL:</t>
  </si>
  <si>
    <t>TABELA</t>
  </si>
  <si>
    <t>ÍTEM</t>
  </si>
  <si>
    <t>MATERIAL
(R$)</t>
  </si>
  <si>
    <t>MÃO DE OBRA
(R$)</t>
  </si>
  <si>
    <t>TOTAL
(R$)</t>
  </si>
  <si>
    <t>QUANTIDADE</t>
  </si>
  <si>
    <t>1.1</t>
  </si>
  <si>
    <t>2.1</t>
  </si>
  <si>
    <t>SINAPI</t>
  </si>
  <si>
    <t>TCPO</t>
  </si>
  <si>
    <t>COTAÇÃO</t>
  </si>
  <si>
    <t>UD</t>
  </si>
  <si>
    <t>73935/2</t>
  </si>
  <si>
    <t/>
  </si>
  <si>
    <t>PINTURAS</t>
  </si>
  <si>
    <t>INSTALAÇÕES HIDROSSANITÁRIAS</t>
  </si>
  <si>
    <t>CÓDIGO</t>
  </si>
  <si>
    <t>DESCRIÇÃO</t>
  </si>
  <si>
    <t>ADMINISTRAÇÃO DE OBRA E SERVIÇOS INICIAIS</t>
  </si>
  <si>
    <t>MES</t>
  </si>
  <si>
    <t>MESTRE DE OBRAS</t>
  </si>
  <si>
    <t>H</t>
  </si>
  <si>
    <t>74209/001</t>
  </si>
  <si>
    <t>PLACA DE OBRA EM CHAPA DE ACO GALVANIZADO</t>
  </si>
  <si>
    <t>M2</t>
  </si>
  <si>
    <t>M3</t>
  </si>
  <si>
    <t>-</t>
  </si>
  <si>
    <t>KG</t>
  </si>
  <si>
    <t>M</t>
  </si>
  <si>
    <t>74254/002</t>
  </si>
  <si>
    <t>SUPRA-ESTRUTURA</t>
  </si>
  <si>
    <t>PAREDES E PAINÉIS</t>
  </si>
  <si>
    <t>DIVISÓRIAS LEVES</t>
  </si>
  <si>
    <t>ESQUADRIAS</t>
  </si>
  <si>
    <t>ESQUADRIAS DE MADEIRA</t>
  </si>
  <si>
    <t>FORRO</t>
  </si>
  <si>
    <t>REVESTIMENTOS INTERNOS</t>
  </si>
  <si>
    <t>RESUMO</t>
  </si>
  <si>
    <t xml:space="preserve">DESCRIÇÃO </t>
  </si>
  <si>
    <t>TOTAL</t>
  </si>
  <si>
    <t>%</t>
  </si>
  <si>
    <t>AMBIENTE</t>
  </si>
  <si>
    <t>PERIMETRO
(M)</t>
  </si>
  <si>
    <t>ÁREA
(M²)</t>
  </si>
  <si>
    <t>rodapé</t>
  </si>
  <si>
    <t>azulejo</t>
  </si>
  <si>
    <t>MEMÓRIA DE CÁLCULO - AMBIENTES INTERNOS</t>
  </si>
  <si>
    <t>LARGURA</t>
  </si>
  <si>
    <t>ALTURA</t>
  </si>
  <si>
    <t>PINTURA 
ESMALTE</t>
  </si>
  <si>
    <t>METRAGEM</t>
  </si>
  <si>
    <t>corredor</t>
  </si>
  <si>
    <t>piso ceramico</t>
  </si>
  <si>
    <t>Pto esgoto primário</t>
  </si>
  <si>
    <t>Pto esgoto secundário</t>
  </si>
  <si>
    <t>bacia cx acoplada</t>
  </si>
  <si>
    <t>bacia PNE</t>
  </si>
  <si>
    <t>lavatório PNE</t>
  </si>
  <si>
    <t>tanque</t>
  </si>
  <si>
    <t>torneira copa</t>
  </si>
  <si>
    <t>torneira lavatório</t>
  </si>
  <si>
    <t>torneira tanque</t>
  </si>
  <si>
    <t>ralo</t>
  </si>
  <si>
    <t>barra apoio bacia PNE</t>
  </si>
  <si>
    <t>espelho</t>
  </si>
  <si>
    <t>gancho</t>
  </si>
  <si>
    <t>papeleira</t>
  </si>
  <si>
    <t>sabonete liquido</t>
  </si>
  <si>
    <t>papel toalha</t>
  </si>
  <si>
    <t>barra lavatório PNE</t>
  </si>
  <si>
    <t>Pto água fria 1/2"</t>
  </si>
  <si>
    <t>Pto água fria 3/4"]</t>
  </si>
  <si>
    <t>IS PNE</t>
  </si>
  <si>
    <t>Circulação</t>
  </si>
  <si>
    <t>Gesso Acartonado verde</t>
  </si>
  <si>
    <t>registro gaveta 3/4"</t>
  </si>
  <si>
    <t>registro gaveta 1 1/2"</t>
  </si>
  <si>
    <t>REDE DE ÁGUA FRIA/ESGOTO</t>
  </si>
  <si>
    <t>15142.8.27.1</t>
  </si>
  <si>
    <t>Tubo soldável de PVC marrom para água fria (diâmetro da seção: 25 mm)</t>
  </si>
  <si>
    <t>Tê 90º soldável de PVC marrom com rosca na bolsa central para água fria (diâmetro da parte roscável: 3/4 " / diâmetro da parte soldável: 25 mm)</t>
  </si>
  <si>
    <t>Joelho 90° soldável de PVC marrom e com rosca para água fria (diâmetro da part e roscável: 3/4 " / diâmetro da parte soldável: 25 mm)</t>
  </si>
  <si>
    <t>Joelho 90° soldável de PVC azul e com bucha de latão com reducao para água fria (diâm etro da parte roscável: 3/4 " / diâmetro da parte soldável: 32,00 mm)</t>
  </si>
  <si>
    <t>Tubo soldável de PVC marrom para água fria (diâmetro da seção: 32 mm)</t>
  </si>
  <si>
    <t>Joelho 90° soldável de PVC marrom para água fria (diâmetro da seção: 32 mm)</t>
  </si>
  <si>
    <t>Joelho 90° soldável de PVC marrom e com rosca com reducao para água fria (diâm etro da parte roscável: 3/4 " /diâmetro da parte soldável: 32 mm)</t>
  </si>
  <si>
    <t>Tê 90º soldável de PVC marrom com rosca na bolsa central para água fria (diâmetro da parte roscável: 3/4 " / diâmetro da parte soldável: 32 mm)</t>
  </si>
  <si>
    <t>15152.8.29.1</t>
  </si>
  <si>
    <t>Tê 90º PBV de PVC branco para esgoto série normal (diâmetro da seção: 100 mm)</t>
  </si>
  <si>
    <t>Tubo PBV de PVC branco para esgoto série normal (diâmetro da seção: 100 mm)</t>
  </si>
  <si>
    <t>Junção 45º PBV de PVC branco com redução para esgoto serie normal (diâmetro de entrada: 100,00 mm / diâmetro de saída: 75,00 mm)</t>
  </si>
  <si>
    <t>Joelho 90° PBV de PVC branco para esgoto série normal (diâmetro da seção: 100 mm )</t>
  </si>
  <si>
    <t>15152.8.29.2</t>
  </si>
  <si>
    <t>Tubo PBV de PVC branco para esgoto série normal (diâmetro da seção: 50 mm)</t>
  </si>
  <si>
    <t>Tê 90º PBV de PVC branco para esgoto série normal (diâmetro da seção: 50 mm)</t>
  </si>
  <si>
    <t>Junção 45º PBV de PVC branco com redução para esgoto serie normal (diâmetro de entrada: 100,00 mm / diâmetro de saída: 50,00 mm)</t>
  </si>
  <si>
    <t>Joelho 90° PBV de PVC branco para esgoto série normal (diâmetro da seção: 50,00 m m)</t>
  </si>
  <si>
    <t>DEMOLIÇÕES</t>
  </si>
  <si>
    <r>
      <t>M</t>
    </r>
    <r>
      <rPr>
        <sz val="8"/>
        <rFont val="Calibri"/>
        <family val="2"/>
      </rPr>
      <t>³</t>
    </r>
  </si>
  <si>
    <t>Demolições</t>
  </si>
  <si>
    <t>CORRIMÃO, RODAPÉS, SOLEIRAS E PEITORIS</t>
  </si>
  <si>
    <t>Pasta lubrificante para tubo de PVC</t>
  </si>
  <si>
    <t>VERGAS/CONTRAVERGAS</t>
  </si>
  <si>
    <t>pe direito</t>
  </si>
  <si>
    <t>metragem</t>
  </si>
  <si>
    <t>total</t>
  </si>
  <si>
    <t>PM90x210</t>
  </si>
  <si>
    <t>3.1</t>
  </si>
  <si>
    <t>3.2</t>
  </si>
  <si>
    <t>3.3</t>
  </si>
  <si>
    <t>3.5</t>
  </si>
  <si>
    <t>3.6</t>
  </si>
  <si>
    <t>3.8</t>
  </si>
  <si>
    <t>3.9</t>
  </si>
  <si>
    <t>3.10</t>
  </si>
  <si>
    <t>3.11</t>
  </si>
  <si>
    <t>4.1</t>
  </si>
  <si>
    <t>4.2</t>
  </si>
  <si>
    <t>4.3</t>
  </si>
  <si>
    <t>4.5</t>
  </si>
  <si>
    <t>4.6</t>
  </si>
  <si>
    <t>4.7</t>
  </si>
  <si>
    <t>4.8</t>
  </si>
  <si>
    <t>4.9</t>
  </si>
  <si>
    <t>4.10</t>
  </si>
  <si>
    <t>4.11</t>
  </si>
  <si>
    <r>
      <rPr>
        <b/>
        <sz val="8"/>
        <rFont val="Arial"/>
        <family val="2"/>
      </rPr>
      <t>PM 90x210 PNE</t>
    </r>
    <r>
      <rPr>
        <sz val="8"/>
        <rFont val="Arial"/>
        <family val="2"/>
      </rPr>
      <t xml:space="preserve"> - Porta de madeira compensada lisa para pintura,com fundo primer (Referência: Camilotti ou similar), 90X210X3, 5 cm, completa inclusive batente, vistas, dobradiças e fechadura (Referência: Papaiz ou similar) - para banheiro PNE - com barras de 30cm - conforme memorial descritivo.</t>
    </r>
  </si>
  <si>
    <r>
      <rPr>
        <b/>
        <sz val="8"/>
        <rFont val="Arial"/>
        <family val="2"/>
      </rPr>
      <t>Rodapé Poliuretano Reciclado</t>
    </r>
    <r>
      <rPr>
        <sz val="8"/>
        <rFont val="Arial"/>
        <family val="2"/>
      </rPr>
      <t xml:space="preserve"> - Referência Técnica: Santa Luzia Moderna 478 15mm x 5cm x 2,40m (Barra) Branco - fixado conforme orientação do fabricante em todos os locais que receberão piso cerâmico novo.</t>
    </r>
  </si>
  <si>
    <r>
      <rPr>
        <b/>
        <sz val="8"/>
        <rFont val="Arial"/>
        <family val="2"/>
      </rPr>
      <t>Ponto de água fria</t>
    </r>
    <r>
      <rPr>
        <sz val="8"/>
        <rFont val="Arial"/>
        <family val="2"/>
      </rPr>
      <t xml:space="preserve"> com tubo de PVC e conexões, </t>
    </r>
    <r>
      <rPr>
        <b/>
        <sz val="8"/>
        <rFont val="Arial"/>
        <family val="2"/>
      </rPr>
      <t>Ø 25 mm</t>
    </r>
  </si>
  <si>
    <r>
      <rPr>
        <b/>
        <sz val="8"/>
        <rFont val="Arial"/>
        <family val="2"/>
      </rPr>
      <t xml:space="preserve">Ponto de água fria </t>
    </r>
    <r>
      <rPr>
        <sz val="8"/>
        <rFont val="Arial"/>
        <family val="2"/>
      </rPr>
      <t>com tubo de PVC e conexões,</t>
    </r>
    <r>
      <rPr>
        <b/>
        <sz val="8"/>
        <rFont val="Arial"/>
        <family val="2"/>
      </rPr>
      <t xml:space="preserve"> Ø 32 mm</t>
    </r>
    <r>
      <rPr>
        <sz val="8"/>
        <rFont val="Arial"/>
        <family val="2"/>
      </rPr>
      <t xml:space="preserve"> (1 1/2")  </t>
    </r>
  </si>
  <si>
    <r>
      <rPr>
        <b/>
        <sz val="8"/>
        <rFont val="Arial"/>
        <family val="2"/>
      </rPr>
      <t>Ponto de esgoto primário</t>
    </r>
    <r>
      <rPr>
        <sz val="8"/>
        <rFont val="Arial"/>
        <family val="2"/>
      </rPr>
      <t xml:space="preserve">, com tubo de PVC branco e conexões, </t>
    </r>
    <r>
      <rPr>
        <b/>
        <sz val="8"/>
        <rFont val="Arial"/>
        <family val="2"/>
      </rPr>
      <t>Ø 100 mm</t>
    </r>
  </si>
  <si>
    <r>
      <rPr>
        <b/>
        <sz val="8"/>
        <rFont val="Arial"/>
        <family val="2"/>
      </rPr>
      <t>Ponto de esgoto secundário</t>
    </r>
    <r>
      <rPr>
        <sz val="8"/>
        <rFont val="Arial"/>
        <family val="2"/>
      </rPr>
      <t xml:space="preserve">, com tubo de PVC branco e conexões, </t>
    </r>
    <r>
      <rPr>
        <b/>
        <sz val="8"/>
        <rFont val="Arial"/>
        <family val="2"/>
      </rPr>
      <t>Ø 50 mm</t>
    </r>
  </si>
  <si>
    <r>
      <rPr>
        <b/>
        <sz val="8"/>
        <rFont val="Arial"/>
        <family val="2"/>
      </rPr>
      <t>REGISTRO GAVETA 1.1/2"</t>
    </r>
    <r>
      <rPr>
        <sz val="8"/>
        <rFont val="Arial"/>
        <family val="2"/>
      </rPr>
      <t xml:space="preserve">  - com canopla cromada e acabamento simples - fornecimento e instalação - SANITÁRIOS COM VÁLVULA DE DESCARGA</t>
    </r>
  </si>
  <si>
    <r>
      <t xml:space="preserve">REGISTRO GAVETA 3/4"  - </t>
    </r>
    <r>
      <rPr>
        <sz val="8"/>
        <rFont val="Arial"/>
        <family val="2"/>
      </rPr>
      <t>com canopla e acabamento simples - fornecimento e instalação - sanitários e copas</t>
    </r>
  </si>
  <si>
    <r>
      <rPr>
        <b/>
        <sz val="8"/>
        <rFont val="Arial"/>
        <family val="2"/>
      </rPr>
      <t>Bacia de louça branca especial para PNE</t>
    </r>
    <r>
      <rPr>
        <sz val="8"/>
        <rFont val="Arial"/>
        <family val="2"/>
      </rPr>
      <t xml:space="preserve">  - Referência: linha Conforto V. Plus sem abertura frontal ou similar  - inclusive assento sanitário espcial para PNE</t>
    </r>
  </si>
  <si>
    <r>
      <rPr>
        <b/>
        <sz val="8"/>
        <rFont val="Arial"/>
        <family val="2"/>
      </rPr>
      <t>Lavatório de louça branca com coluna suspensa - PNE -</t>
    </r>
    <r>
      <rPr>
        <sz val="8"/>
        <rFont val="Arial"/>
        <family val="2"/>
      </rPr>
      <t xml:space="preserve"> Referência: linha V. Plus Deca ou similar - completa incluisive válvula de escoamento cromada, engate cromado flexível, parafusos de fixação cromados </t>
    </r>
  </si>
  <si>
    <r>
      <rPr>
        <b/>
        <sz val="8"/>
        <rFont val="Arial"/>
        <family val="2"/>
      </rPr>
      <t xml:space="preserve">Papeleira em metal cromado de parafusar </t>
    </r>
    <r>
      <rPr>
        <sz val="8"/>
        <rFont val="Arial"/>
        <family val="2"/>
      </rPr>
      <t>- referência: linha Deca Flex 2020 ou similar, que apresente características visuais e materiais de fabricação idênticos - instalado junto a cada bacia sanitária nova</t>
    </r>
  </si>
  <si>
    <r>
      <rPr>
        <b/>
        <sz val="8"/>
        <rFont val="Arial"/>
        <family val="2"/>
      </rPr>
      <t>Saboneteira de plástico para sabonete líquido</t>
    </r>
    <r>
      <rPr>
        <sz val="8"/>
        <rFont val="Arial"/>
        <family val="2"/>
      </rPr>
      <t xml:space="preserve"> - referência:  Columbus ou similar</t>
    </r>
  </si>
  <si>
    <r>
      <rPr>
        <b/>
        <sz val="8"/>
        <rFont val="Arial"/>
        <family val="2"/>
      </rPr>
      <t>Dispenser para papel toalha</t>
    </r>
    <r>
      <rPr>
        <sz val="8"/>
        <rFont val="Arial"/>
        <family val="2"/>
      </rPr>
      <t>, linha standard - Fornecimento e instalação  - Referência Técnica: Columbus ou similar</t>
    </r>
  </si>
  <si>
    <r>
      <rPr>
        <b/>
        <sz val="8"/>
        <rFont val="Arial"/>
        <family val="2"/>
      </rPr>
      <t xml:space="preserve">Toalheiro tipo gancho em metal cromado de parafusar </t>
    </r>
    <r>
      <rPr>
        <sz val="8"/>
        <rFont val="Arial"/>
        <family val="2"/>
      </rPr>
      <t>- referêcnia: linha Deca Flex 2060 ou similar - instalados nos sanitários e nas copas</t>
    </r>
  </si>
  <si>
    <r>
      <rPr>
        <b/>
        <sz val="8"/>
        <rFont val="Arial"/>
        <family val="2"/>
      </rPr>
      <t>Torneira de pressão cromada para pia de parede, bica alta móvel</t>
    </r>
    <r>
      <rPr>
        <sz val="8"/>
        <rFont val="Arial"/>
        <family val="2"/>
      </rPr>
      <t xml:space="preserve">  - Referência: linha Prata 50 parede cromada bica móvel DECA ou similar.  (copas)</t>
    </r>
  </si>
  <si>
    <r>
      <rPr>
        <b/>
        <sz val="8"/>
        <rFont val="Arial"/>
        <family val="2"/>
      </rPr>
      <t>Barra de apoio para lavatório de portadores de necessidades especiais</t>
    </r>
    <r>
      <rPr>
        <sz val="8"/>
        <rFont val="Arial"/>
        <family val="2"/>
      </rPr>
      <t>, em inox escovado 54 cm x 40 cmc (no lavatório PNE)</t>
    </r>
  </si>
  <si>
    <r>
      <rPr>
        <b/>
        <sz val="8"/>
        <rFont val="Arial"/>
        <family val="2"/>
      </rPr>
      <t>Barra de apoio cromada para portadores de necessidades especiais</t>
    </r>
    <r>
      <rPr>
        <sz val="8"/>
        <rFont val="Arial"/>
        <family val="2"/>
      </rPr>
      <t>, largura 80 cm - instalada com parafusos e buchas.  ( instaladas junto às bacias PNE)</t>
    </r>
  </si>
  <si>
    <r>
      <rPr>
        <b/>
        <sz val="8"/>
        <rFont val="Arial"/>
        <family val="2"/>
      </rPr>
      <t xml:space="preserve">Base para válvula de descarga metálica Ø 32 mm (1 1/4") </t>
    </r>
    <r>
      <rPr>
        <sz val="8"/>
        <rFont val="Arial"/>
        <family val="2"/>
      </rPr>
      <t>ou 40 mm (1 1/2")  - Referência: Docol Salvágua cromado 451106 - botão de duplo acionamento  (pne)</t>
    </r>
  </si>
  <si>
    <r>
      <rPr>
        <b/>
        <sz val="8"/>
        <rFont val="Arial"/>
        <family val="2"/>
      </rPr>
      <t>Acabamento cromado para válvula de descarga tipo barra para acionamento</t>
    </r>
    <r>
      <rPr>
        <sz val="8"/>
        <rFont val="Arial"/>
        <family val="2"/>
      </rPr>
      <t xml:space="preserve"> - referência: Acabamento Válv. Desc. 1.1/2" Benefit Cr 184906 - Docol ou similar (pne)</t>
    </r>
  </si>
  <si>
    <r>
      <rPr>
        <b/>
        <sz val="8"/>
        <rFont val="Arial"/>
        <family val="2"/>
      </rPr>
      <t xml:space="preserve">Caixa de gordura de polietileno, </t>
    </r>
    <r>
      <rPr>
        <sz val="8"/>
        <rFont val="Arial"/>
        <family val="2"/>
      </rPr>
      <t>250 x 172 x 50mm - uma por copa.</t>
    </r>
  </si>
  <si>
    <r>
      <rPr>
        <b/>
        <sz val="8"/>
        <rFont val="Arial"/>
        <family val="2"/>
      </rPr>
      <t>PM 180x210</t>
    </r>
    <r>
      <rPr>
        <sz val="8"/>
        <rFont val="Arial"/>
        <family val="2"/>
      </rPr>
      <t xml:space="preserve"> - Porta de madeira compensada lisa para pintura, com fundo primer (Referência: Camilotti ou similar), 180X210X3, 5 cm, completa inclusive batentes, vistas, dobradiças e fechadura (Referência: Papaiz ou similar) - conforme memorial descritivo</t>
    </r>
  </si>
  <si>
    <r>
      <rPr>
        <b/>
        <sz val="8"/>
        <rFont val="Arial"/>
        <family val="2"/>
      </rPr>
      <t>PINTURA LATEX ACRILICA</t>
    </r>
    <r>
      <rPr>
        <sz val="8"/>
        <rFont val="Arial"/>
        <family val="2"/>
      </rPr>
      <t xml:space="preserve"> ambientes externos e internos - 2 demão -</t>
    </r>
    <r>
      <rPr>
        <b/>
        <sz val="8"/>
        <rFont val="Arial"/>
        <family val="2"/>
      </rPr>
      <t xml:space="preserve"> PAREDES</t>
    </r>
  </si>
  <si>
    <r>
      <rPr>
        <b/>
        <sz val="8"/>
        <rFont val="Arial"/>
        <family val="2"/>
      </rPr>
      <t>PINTURA LATEX ACRILICA</t>
    </r>
    <r>
      <rPr>
        <sz val="8"/>
        <rFont val="Arial"/>
        <family val="2"/>
      </rPr>
      <t xml:space="preserve"> ambientes externos e internos - 2 demão -</t>
    </r>
    <r>
      <rPr>
        <b/>
        <sz val="8"/>
        <rFont val="Arial"/>
        <family val="2"/>
      </rPr>
      <t xml:space="preserve"> TETOS</t>
    </r>
  </si>
  <si>
    <r>
      <rPr>
        <b/>
        <sz val="8"/>
        <rFont val="Arial"/>
        <family val="2"/>
      </rPr>
      <t>PINTURA ESMALTE ACETINADO</t>
    </r>
    <r>
      <rPr>
        <sz val="8"/>
        <rFont val="Arial"/>
        <family val="2"/>
      </rPr>
      <t>, em esquadrias de madeira, duas demão - incluisve preparo</t>
    </r>
  </si>
  <si>
    <r>
      <rPr>
        <b/>
        <sz val="8"/>
        <rFont val="Arial"/>
        <family val="2"/>
      </rPr>
      <t>LIMPEZA</t>
    </r>
    <r>
      <rPr>
        <sz val="8"/>
        <rFont val="Arial"/>
        <family val="2"/>
      </rPr>
      <t xml:space="preserve"> final da obra - remoção total de entulhos</t>
    </r>
  </si>
  <si>
    <t>COMUNICAÇÃO VISUAL</t>
  </si>
  <si>
    <t>COMPOSIÇÃO PRÓPRIA</t>
  </si>
  <si>
    <r>
      <t xml:space="preserve">Instalação de  placas de identificação - </t>
    </r>
    <r>
      <rPr>
        <sz val="8"/>
        <rFont val="Arial"/>
        <family val="2"/>
      </rPr>
      <t>somente mão de obra para fixação - material fornecido pelo TRT</t>
    </r>
  </si>
  <si>
    <r>
      <rPr>
        <b/>
        <sz val="8"/>
        <rFont val="Arial"/>
        <family val="2"/>
      </rPr>
      <t>CAÇAMBA</t>
    </r>
    <r>
      <rPr>
        <sz val="8"/>
        <rFont val="Arial"/>
        <family val="2"/>
      </rPr>
      <t xml:space="preserve"> PARA ENTULHO COMUM</t>
    </r>
  </si>
  <si>
    <r>
      <rPr>
        <b/>
        <sz val="8"/>
        <rFont val="Arial"/>
        <family val="2"/>
      </rPr>
      <t xml:space="preserve">Desmontagem e remoção de divisórias </t>
    </r>
    <r>
      <rPr>
        <sz val="8"/>
        <rFont val="Arial"/>
        <family val="2"/>
      </rPr>
      <t>em gesso acartonado/naval - inclusive perfis e acessórios de fixação - inclui transporte até a caçamba</t>
    </r>
  </si>
  <si>
    <r>
      <rPr>
        <b/>
        <sz val="8"/>
        <rFont val="Arial"/>
        <family val="2"/>
      </rPr>
      <t xml:space="preserve">Remoção forro existente </t>
    </r>
    <r>
      <rPr>
        <sz val="8"/>
        <rFont val="Arial"/>
        <family val="2"/>
      </rPr>
      <t>- inclusive perfis de fixação, rodaforro e acabamentos - inclui transporte até a caçamba</t>
    </r>
  </si>
  <si>
    <r>
      <rPr>
        <b/>
        <sz val="8"/>
        <rFont val="Arial"/>
        <family val="2"/>
      </rPr>
      <t>Demolição de revestimento de piso</t>
    </r>
    <r>
      <rPr>
        <sz val="8"/>
        <rFont val="Arial"/>
        <family val="2"/>
      </rPr>
      <t xml:space="preserve">  - incluisve base de assentamento  - inclui transporte até a caçamba</t>
    </r>
  </si>
  <si>
    <r>
      <rPr>
        <b/>
        <sz val="8"/>
        <rFont val="Arial"/>
        <family val="2"/>
      </rPr>
      <t>Demolição de azulejo</t>
    </r>
    <r>
      <rPr>
        <sz val="8"/>
        <rFont val="Arial"/>
        <family val="2"/>
      </rPr>
      <t xml:space="preserve"> - inclusive base de assentamento - inclui carga do entulho até a caçamba</t>
    </r>
  </si>
  <si>
    <r>
      <rPr>
        <b/>
        <sz val="8"/>
        <rFont val="Arial"/>
        <family val="2"/>
      </rPr>
      <t>Remoção de esquadrias de madeira/ferro</t>
    </r>
    <r>
      <rPr>
        <sz val="8"/>
        <rFont val="Arial"/>
        <family val="2"/>
      </rPr>
      <t xml:space="preserve">  - inclusive ferragens, contramarcos e vistas - inclui transporte até a caçamba</t>
    </r>
  </si>
  <si>
    <t>3.7</t>
  </si>
  <si>
    <t>composição propria</t>
  </si>
  <si>
    <t>Cimento CP-32</t>
  </si>
  <si>
    <t>m³</t>
  </si>
  <si>
    <t>l</t>
  </si>
  <si>
    <t>composição propria  + 
cotação</t>
  </si>
  <si>
    <t>15142.8.27.1
adaptado</t>
  </si>
  <si>
    <t>emassamento
(mesma área pintura)</t>
  </si>
  <si>
    <t>un</t>
  </si>
  <si>
    <t>Eletricista</t>
  </si>
  <si>
    <t>INTERVENÇÕES DIVERSAS CASARÃO/EDIFICIO RIO BRANCO</t>
  </si>
  <si>
    <t>Alameda Carlos de Carvalho, 528</t>
  </si>
  <si>
    <t>Curitiba/PR</t>
  </si>
  <si>
    <t>CRONOGRAMA FÍSICO FINANCEIRO
INTERVENÇÕES DIVERSAS CASARÃO/EDIFICIO RIO BRANCO</t>
  </si>
  <si>
    <t>PAVIMENTO TÉRREO CASARÃO - cozinha e banheiros</t>
  </si>
  <si>
    <t>Piso Cerâmico IS Fem</t>
  </si>
  <si>
    <t>Piso Cerâmico IS Masc</t>
  </si>
  <si>
    <t>Remoção Divisórias IS Fem</t>
  </si>
  <si>
    <t>Remoção Divisórias IS Masc</t>
  </si>
  <si>
    <t xml:space="preserve">demolição de alvenarias
vãos para instalação de portas </t>
  </si>
  <si>
    <t>Remoção Azulejos IS Fem</t>
  </si>
  <si>
    <t>Remoção Azulejos IS Masc</t>
  </si>
  <si>
    <t>RemoçãoPortas IS Fem</t>
  </si>
  <si>
    <t>Remoção Portas IS Masc</t>
  </si>
  <si>
    <t>Remoção Louças IS Fem</t>
  </si>
  <si>
    <t>Remoção Louças IS Masc</t>
  </si>
  <si>
    <t>Remoção Bancada IS Fem (m)</t>
  </si>
  <si>
    <t>Remoção Bancada IS Masc (m)</t>
  </si>
  <si>
    <t>cozinha</t>
  </si>
  <si>
    <t>IS Fem</t>
  </si>
  <si>
    <t>IS Masc</t>
  </si>
  <si>
    <t>refeitório</t>
  </si>
  <si>
    <t xml:space="preserve">pintura parede
</t>
  </si>
  <si>
    <t>lavatório - cuba</t>
  </si>
  <si>
    <t>Paredes e Painéis</t>
  </si>
  <si>
    <t>Piso, revestimento, pintura, hidro</t>
  </si>
  <si>
    <t>PM90x210 PNE</t>
  </si>
  <si>
    <t>Gesso Acartonado comum</t>
  </si>
  <si>
    <t>PM200x210 - duas folhas</t>
  </si>
  <si>
    <t xml:space="preserve">SOLEIRA
</t>
  </si>
  <si>
    <t>corredor  + pano de parede da sala de lanches</t>
  </si>
  <si>
    <t>PAVIMENTO SOBRELOJA CASARÃO - ambulatório, gabinete, banheiros</t>
  </si>
  <si>
    <t>PM90x210 - relocadas</t>
  </si>
  <si>
    <t>PM 80x210 - vai/vem</t>
  </si>
  <si>
    <t>PM 100x210 - vai/vem</t>
  </si>
  <si>
    <t>Sóculos</t>
  </si>
  <si>
    <t>soculo 01 (0,60x3,20)</t>
  </si>
  <si>
    <t>soculo 02 (0,60x1,80)</t>
  </si>
  <si>
    <t>soculo 03 (0,60x3,45)</t>
  </si>
  <si>
    <t>soculo 04 (0,60x3,45)</t>
  </si>
  <si>
    <t>sóculos</t>
  </si>
  <si>
    <t>regularização piso</t>
  </si>
  <si>
    <t>regularização de piso</t>
  </si>
  <si>
    <t>consultório</t>
  </si>
  <si>
    <t>espera</t>
  </si>
  <si>
    <t>gabinete</t>
  </si>
  <si>
    <t>Gesso Acartonado Verde</t>
  </si>
  <si>
    <t>PMC 90x210</t>
  </si>
  <si>
    <t>PM80x210 - RELOCADA</t>
  </si>
  <si>
    <t>PM 80x210 EXISTENTE</t>
  </si>
  <si>
    <t>GABINETE</t>
  </si>
  <si>
    <t>FORRO/pintura teto</t>
  </si>
  <si>
    <r>
      <rPr>
        <b/>
        <sz val="8"/>
        <rFont val="Arial"/>
        <family val="2"/>
      </rPr>
      <t>Remoção de louças sanitárias</t>
    </r>
    <r>
      <rPr>
        <sz val="8"/>
        <rFont val="Arial"/>
        <family val="2"/>
      </rPr>
      <t xml:space="preserve"> - inclusive metais e acessórios de fixação </t>
    </r>
  </si>
  <si>
    <r>
      <rPr>
        <b/>
        <sz val="8"/>
        <rFont val="Arial"/>
        <family val="2"/>
      </rPr>
      <t>Remoção de bancada em granito</t>
    </r>
    <r>
      <rPr>
        <sz val="8"/>
        <rFont val="Arial"/>
        <family val="2"/>
      </rPr>
      <t xml:space="preserve"> - com reaproveitamento do material</t>
    </r>
  </si>
  <si>
    <r>
      <rPr>
        <b/>
        <sz val="8"/>
        <rFont val="Arial"/>
        <family val="2"/>
      </rPr>
      <t>Remoção de espelho</t>
    </r>
    <r>
      <rPr>
        <sz val="8"/>
        <rFont val="Arial"/>
        <family val="2"/>
      </rPr>
      <t xml:space="preserve"> - com reaproveitamento do material</t>
    </r>
  </si>
  <si>
    <r>
      <rPr>
        <b/>
        <sz val="8"/>
        <rFont val="Arial"/>
        <family val="2"/>
      </rPr>
      <t>Demolição de paredes de alvenaria</t>
    </r>
    <r>
      <rPr>
        <sz val="8"/>
        <rFont val="Arial"/>
        <family val="2"/>
      </rPr>
      <t xml:space="preserve"> -  abertura de vãos para instalação de esquadrias</t>
    </r>
  </si>
  <si>
    <t>PM90x210 CORRER</t>
  </si>
  <si>
    <r>
      <rPr>
        <b/>
        <sz val="8"/>
        <rFont val="Arial"/>
        <family val="2"/>
      </rPr>
      <t>PM 100x210</t>
    </r>
    <r>
      <rPr>
        <sz val="8"/>
        <rFont val="Arial"/>
        <family val="2"/>
      </rPr>
      <t xml:space="preserve"> -Vai/vem - Porta demadeira compensada lisa para pintura, com fundo primer (Referência: Camilotti ou similar), 90X210X3, 5 cm, completa inclusive batente, vista, dobradiça e fechadura (Referência: Papaiz ou similar) - conforme memorial descritivo.</t>
    </r>
  </si>
  <si>
    <r>
      <rPr>
        <b/>
        <sz val="8"/>
        <rFont val="Arial"/>
        <family val="2"/>
      </rPr>
      <t>PM 90x210</t>
    </r>
    <r>
      <rPr>
        <sz val="8"/>
        <rFont val="Arial"/>
        <family val="2"/>
      </rPr>
      <t xml:space="preserve"> - Reinstalação de Porta demadeira compensada lisa para pintura, com fundo primer (Referência: Camilotti ou similar), 90X210X3, 5 cm, completa inclusive batente, vista, dobradiça e fechadura (Referência: Papaiz ou similar) - conforme memorial descritivo.</t>
    </r>
  </si>
  <si>
    <r>
      <rPr>
        <b/>
        <sz val="8"/>
        <rFont val="Arial"/>
        <family val="2"/>
      </rPr>
      <t>Soleira de granito natural</t>
    </r>
    <r>
      <rPr>
        <sz val="8"/>
        <rFont val="Arial"/>
        <family val="2"/>
      </rPr>
      <t>,  cinza andorinha ou similar  - na largura da parede, assentado com argamassa mista de cimento, cal hidratada e areia sem peneirar traço 1:1:4 - PORTAS EXTERNAS</t>
    </r>
  </si>
  <si>
    <t>2.2</t>
  </si>
  <si>
    <t>3.1.1</t>
  </si>
  <si>
    <t>3.1.2</t>
  </si>
  <si>
    <t>3.1.3</t>
  </si>
  <si>
    <t>3.1.4</t>
  </si>
  <si>
    <t>3.1.5</t>
  </si>
  <si>
    <t>3.1.6</t>
  </si>
  <si>
    <t>3.1.7</t>
  </si>
  <si>
    <t>3.1.8</t>
  </si>
  <si>
    <t>3.1.9</t>
  </si>
  <si>
    <t>4.1.1</t>
  </si>
  <si>
    <t>4.1.2</t>
  </si>
  <si>
    <t>3.2.1</t>
  </si>
  <si>
    <t>3.2.2</t>
  </si>
  <si>
    <t>3.2.3</t>
  </si>
  <si>
    <t>3.3.1</t>
  </si>
  <si>
    <t>3.3.2</t>
  </si>
  <si>
    <t>3.4</t>
  </si>
  <si>
    <t>3.4.1</t>
  </si>
  <si>
    <t>3.4.3</t>
  </si>
  <si>
    <t>3.4.4</t>
  </si>
  <si>
    <t>3.4.5</t>
  </si>
  <si>
    <t>3.4.6</t>
  </si>
  <si>
    <t>3.5.1</t>
  </si>
  <si>
    <t>3.6.1</t>
  </si>
  <si>
    <t>3.6.2</t>
  </si>
  <si>
    <t>3.7.1</t>
  </si>
  <si>
    <t xml:space="preserve">PISOS </t>
  </si>
  <si>
    <t>3.7.2</t>
  </si>
  <si>
    <t>3.7.3</t>
  </si>
  <si>
    <t>3.9.1</t>
  </si>
  <si>
    <t>3.9.2</t>
  </si>
  <si>
    <t>3.9.3</t>
  </si>
  <si>
    <t>3.9.4</t>
  </si>
  <si>
    <t>3.9.5</t>
  </si>
  <si>
    <t>3.9.6</t>
  </si>
  <si>
    <t>3.9.7</t>
  </si>
  <si>
    <t>3.9.8</t>
  </si>
  <si>
    <t>3.9.9</t>
  </si>
  <si>
    <t>3.9.10</t>
  </si>
  <si>
    <t>3.9.11</t>
  </si>
  <si>
    <t>3.9.12</t>
  </si>
  <si>
    <t>3.9.13</t>
  </si>
  <si>
    <t>3.9.14</t>
  </si>
  <si>
    <t>3.9.15</t>
  </si>
  <si>
    <t>3.9.16</t>
  </si>
  <si>
    <t>3.9.17</t>
  </si>
  <si>
    <t>3.9.18</t>
  </si>
  <si>
    <t>3.9.19</t>
  </si>
  <si>
    <t>3.9.20</t>
  </si>
  <si>
    <t>3.9.21</t>
  </si>
  <si>
    <t>3.10.1</t>
  </si>
  <si>
    <t>3.10.2</t>
  </si>
  <si>
    <t>3.10.3</t>
  </si>
  <si>
    <t>3.10.4</t>
  </si>
  <si>
    <t>3.11.1</t>
  </si>
  <si>
    <r>
      <rPr>
        <b/>
        <sz val="8"/>
        <rFont val="Arial"/>
        <family val="2"/>
      </rPr>
      <t xml:space="preserve">REVESTIMENTO CERÂMICO PARA PISO/PAREDE COM PLACAS TIPO PORCELANATO TÉCNICO (MASSA ÚNICA) DE DIMENSÕES 60X60 CM </t>
    </r>
    <r>
      <rPr>
        <sz val="8"/>
        <rFont val="Arial"/>
        <family val="2"/>
      </rPr>
      <t xml:space="preserve"> - fixado com argamassa colante e rejuntamento com rejunte flexível antifungo - Referência: PORCELANATO "A" 60X60 NÓRDICO SNOW RET ou similar</t>
    </r>
  </si>
  <si>
    <t>4.1.4</t>
  </si>
  <si>
    <t>4.1.5</t>
  </si>
  <si>
    <t>4.1.6</t>
  </si>
  <si>
    <t>4.1.7</t>
  </si>
  <si>
    <t>4.1.8</t>
  </si>
  <si>
    <t>4.1.9</t>
  </si>
  <si>
    <t>4.2.1</t>
  </si>
  <si>
    <t>4.2.2</t>
  </si>
  <si>
    <t>4.2.3</t>
  </si>
  <si>
    <t>4.3.1</t>
  </si>
  <si>
    <t>4.3.2</t>
  </si>
  <si>
    <t>4.4</t>
  </si>
  <si>
    <t>PM 90x210</t>
  </si>
  <si>
    <t>Divisórias</t>
  </si>
  <si>
    <t xml:space="preserve">IS </t>
  </si>
  <si>
    <t>porta veneziana 60x180</t>
  </si>
  <si>
    <t>4.7.1</t>
  </si>
  <si>
    <t>4.7.2</t>
  </si>
  <si>
    <t>4.8.2</t>
  </si>
  <si>
    <t>4.8.3</t>
  </si>
  <si>
    <t>4.8.4</t>
  </si>
  <si>
    <t>4.8.5</t>
  </si>
  <si>
    <t>4.8.6</t>
  </si>
  <si>
    <t>4.8.7</t>
  </si>
  <si>
    <t>4.8.9</t>
  </si>
  <si>
    <t>4.8.8</t>
  </si>
  <si>
    <t>4.8.10</t>
  </si>
  <si>
    <t>4.8.11</t>
  </si>
  <si>
    <t>4.8.12</t>
  </si>
  <si>
    <t>4.8.13</t>
  </si>
  <si>
    <t>4.8.14</t>
  </si>
  <si>
    <t>4.8.15</t>
  </si>
  <si>
    <t>4.8.16</t>
  </si>
  <si>
    <t>4.8.17</t>
  </si>
  <si>
    <t>4.8.18</t>
  </si>
  <si>
    <t>4.8.19</t>
  </si>
  <si>
    <t>4.9.1</t>
  </si>
  <si>
    <t>4.9.2</t>
  </si>
  <si>
    <t>4.9.3</t>
  </si>
  <si>
    <t>4.9.4</t>
  </si>
  <si>
    <t>4.10.1</t>
  </si>
  <si>
    <t>4.11.1</t>
  </si>
  <si>
    <r>
      <t xml:space="preserve">Reinstalação de </t>
    </r>
    <r>
      <rPr>
        <b/>
        <sz val="8"/>
        <rFont val="Arial"/>
        <family val="2"/>
      </rPr>
      <t xml:space="preserve">Espelho cristal para sanitário </t>
    </r>
    <r>
      <rPr>
        <sz val="8"/>
        <rFont val="Arial"/>
        <family val="2"/>
      </rPr>
      <t>- fixado com 04 (quatro) botões cromados  - instalado junto a cada lavatório - MATERIAL REAPROVEITADO</t>
    </r>
  </si>
  <si>
    <t>Areia média lavada</t>
  </si>
  <si>
    <t>Tampo de granito cinza andorinha para lavatório (espessura: 30,00 mm / largura: 0,60 m)</t>
  </si>
  <si>
    <t>26.002.000008.
adaptada</t>
  </si>
  <si>
    <t>40% do valor do granito</t>
  </si>
  <si>
    <t>15410.8.14.3
adaptado</t>
  </si>
  <si>
    <t>3.9.22</t>
  </si>
  <si>
    <t>3.9.23</t>
  </si>
  <si>
    <t>4.8.20</t>
  </si>
  <si>
    <t>4.8.21</t>
  </si>
  <si>
    <t>LOUÇAS E METAIS</t>
  </si>
  <si>
    <t>secretaria</t>
  </si>
  <si>
    <t>sala de reuniões</t>
  </si>
  <si>
    <t>Área</t>
  </si>
  <si>
    <t>Perímetro</t>
  </si>
  <si>
    <t>pintura parede</t>
  </si>
  <si>
    <t xml:space="preserve">piso </t>
  </si>
  <si>
    <t>rodapés</t>
  </si>
  <si>
    <t>número de gabinetes</t>
  </si>
  <si>
    <t>pavimento 04</t>
  </si>
  <si>
    <t>pavimento 05</t>
  </si>
  <si>
    <t>pavimento 06</t>
  </si>
  <si>
    <t>pavimento 07</t>
  </si>
  <si>
    <t>pavimento 08</t>
  </si>
  <si>
    <t>pavimento 09</t>
  </si>
  <si>
    <t>pavimento 10</t>
  </si>
  <si>
    <t>pavimento 11</t>
  </si>
  <si>
    <t>pavimento 12</t>
  </si>
  <si>
    <t>terreo</t>
  </si>
  <si>
    <t>sobreloja</t>
  </si>
  <si>
    <t>pavimento 02</t>
  </si>
  <si>
    <t>pavimento 03</t>
  </si>
  <si>
    <t>5.1</t>
  </si>
  <si>
    <r>
      <rPr>
        <b/>
        <sz val="8"/>
        <rFont val="Arial"/>
        <family val="2"/>
      </rPr>
      <t>REMOCAO DE PISO EM CARPETE</t>
    </r>
    <r>
      <rPr>
        <sz val="8"/>
        <rFont val="Arial"/>
        <family val="2"/>
      </rPr>
      <t xml:space="preserve">  - inclui transporte até a caçamba</t>
    </r>
  </si>
  <si>
    <t>5.2</t>
  </si>
  <si>
    <t>pintura forro</t>
  </si>
  <si>
    <t>5.1.1</t>
  </si>
  <si>
    <t>5.3</t>
  </si>
  <si>
    <t>INSTALAÇÃO DE COPA NA SOBRELOJA - EDIFICIO RIO BRANCO</t>
  </si>
  <si>
    <t>copa</t>
  </si>
  <si>
    <t>piso</t>
  </si>
  <si>
    <t>emassamento</t>
  </si>
  <si>
    <t>gesso acartonado</t>
  </si>
  <si>
    <t>73792/1</t>
  </si>
  <si>
    <t>5.4</t>
  </si>
  <si>
    <t>5.4.1</t>
  </si>
  <si>
    <t>5.4.2</t>
  </si>
  <si>
    <t>5.4.3</t>
  </si>
  <si>
    <t>5.5</t>
  </si>
  <si>
    <t>5.6</t>
  </si>
  <si>
    <t>6.1</t>
  </si>
  <si>
    <t>6.1.1</t>
  </si>
  <si>
    <t>6.2</t>
  </si>
  <si>
    <t>6.3</t>
  </si>
  <si>
    <t>6.3.1</t>
  </si>
  <si>
    <t>6.3.2</t>
  </si>
  <si>
    <t>6.3.3</t>
  </si>
  <si>
    <r>
      <rPr>
        <b/>
        <sz val="8"/>
        <rFont val="Arial"/>
        <family val="2"/>
      </rPr>
      <t>PISO VINILICO  - SISTEMA CLICK 4MM -</t>
    </r>
    <r>
      <rPr>
        <sz val="8"/>
        <rFont val="Arial"/>
        <family val="2"/>
      </rPr>
      <t xml:space="preserve"> réguas 150x1220 mm Referência Técnica: Piso Vinílico Smart-Clic 4mm  Vintage Floor - inclusive Manta Filmada Vintage Floor 2mm - assentado conforme orientação do fabricante.</t>
    </r>
  </si>
  <si>
    <t>PINTURAS E SUBSTITUIÇÃO DE PISOS EM GABINETES</t>
  </si>
  <si>
    <t>INSTALAÇÃO DA COPA NA SOBRELOJA</t>
  </si>
  <si>
    <t>SALA MOTORISTAS I</t>
  </si>
  <si>
    <t>SALA MOTORISTAS II</t>
  </si>
  <si>
    <t>VESTIÁRIO FEM</t>
  </si>
  <si>
    <t>VESTIÁRIO MASC</t>
  </si>
  <si>
    <t>PISO 
CERÂMICO</t>
  </si>
  <si>
    <t>RODAPÉ</t>
  </si>
  <si>
    <t>AZULEJO</t>
  </si>
  <si>
    <t>PINTURA
PAREDE</t>
  </si>
  <si>
    <t>EMASSAMENTO</t>
  </si>
  <si>
    <t>torneira
 copa</t>
  </si>
  <si>
    <t>PM 80x210</t>
  </si>
  <si>
    <t>PORTAS EXISTENTES</t>
  </si>
  <si>
    <t>ESQUADRIAS DE ALUMINIO</t>
  </si>
  <si>
    <t>VIDRO</t>
  </si>
  <si>
    <t>MOTORISTAS - 1ª SUB SOLO</t>
  </si>
  <si>
    <t>50X110 - CORRER</t>
  </si>
  <si>
    <r>
      <rPr>
        <b/>
        <sz val="7"/>
        <color indexed="8"/>
        <rFont val="Calibri"/>
        <family val="2"/>
      </rPr>
      <t>GABINETE 01</t>
    </r>
    <r>
      <rPr>
        <sz val="7"/>
        <color indexed="8"/>
        <rFont val="Calibri"/>
        <family val="2"/>
      </rPr>
      <t xml:space="preserve"> (fundos/esquerda)</t>
    </r>
  </si>
  <si>
    <r>
      <rPr>
        <b/>
        <sz val="7"/>
        <color indexed="8"/>
        <rFont val="Calibri"/>
        <family val="2"/>
      </rPr>
      <t>com</t>
    </r>
    <r>
      <rPr>
        <sz val="7"/>
        <color indexed="8"/>
        <rFont val="Calibri"/>
        <family val="2"/>
      </rPr>
      <t xml:space="preserve"> sala reuniões</t>
    </r>
  </si>
  <si>
    <r>
      <rPr>
        <b/>
        <sz val="7"/>
        <color indexed="8"/>
        <rFont val="Calibri"/>
        <family val="2"/>
      </rPr>
      <t>sem</t>
    </r>
    <r>
      <rPr>
        <sz val="7"/>
        <color indexed="8"/>
        <rFont val="Calibri"/>
        <family val="2"/>
      </rPr>
      <t xml:space="preserve"> sala reuniões</t>
    </r>
  </si>
  <si>
    <r>
      <rPr>
        <b/>
        <sz val="7"/>
        <color indexed="8"/>
        <rFont val="Calibri"/>
        <family val="2"/>
      </rPr>
      <t xml:space="preserve">GABINETE 02 </t>
    </r>
    <r>
      <rPr>
        <sz val="7"/>
        <color indexed="8"/>
        <rFont val="Calibri"/>
        <family val="2"/>
      </rPr>
      <t>(frente/esquerda)</t>
    </r>
  </si>
  <si>
    <r>
      <rPr>
        <b/>
        <sz val="7"/>
        <color indexed="8"/>
        <rFont val="Calibri"/>
        <family val="2"/>
      </rPr>
      <t>GABINETE 03</t>
    </r>
    <r>
      <rPr>
        <sz val="7"/>
        <color indexed="8"/>
        <rFont val="Calibri"/>
        <family val="2"/>
      </rPr>
      <t xml:space="preserve"> (frente/direita)</t>
    </r>
  </si>
  <si>
    <r>
      <rPr>
        <b/>
        <sz val="7"/>
        <color indexed="8"/>
        <rFont val="Calibri"/>
        <family val="2"/>
      </rPr>
      <t xml:space="preserve">GABINETE 04 </t>
    </r>
    <r>
      <rPr>
        <sz val="7"/>
        <color indexed="8"/>
        <rFont val="Calibri"/>
        <family val="2"/>
      </rPr>
      <t>(frente/fundos)</t>
    </r>
  </si>
  <si>
    <t>SALA DOS MOTORISTAS - 1º SUB SOLO</t>
  </si>
  <si>
    <r>
      <rPr>
        <b/>
        <sz val="8"/>
        <rFont val="Arial"/>
        <family val="2"/>
      </rPr>
      <t xml:space="preserve">Demolição de revestimento de piso vinilico </t>
    </r>
    <r>
      <rPr>
        <sz val="8"/>
        <rFont val="Arial"/>
        <family val="2"/>
      </rPr>
      <t xml:space="preserve">  - incluisve base de assentamento  - inclui transporte até a caçamba</t>
    </r>
  </si>
  <si>
    <r>
      <rPr>
        <b/>
        <sz val="8"/>
        <rFont val="Arial"/>
        <family val="2"/>
      </rPr>
      <t>Piso cerâmico</t>
    </r>
    <r>
      <rPr>
        <sz val="8"/>
        <rFont val="Arial"/>
        <family val="2"/>
      </rPr>
      <t xml:space="preserve"> - classe A, PEI V, dimensões 45X45cm - referência técnica: ELIANE  linha cargo plus, cor write - ou similar - assentado com argamassa colante e rejuntado com rejunte flexível antifungo.</t>
    </r>
  </si>
  <si>
    <r>
      <rPr>
        <b/>
        <sz val="8"/>
        <rFont val="Arial"/>
        <family val="2"/>
      </rPr>
      <t xml:space="preserve">Revestimento em azulejo </t>
    </r>
    <r>
      <rPr>
        <sz val="8"/>
        <rFont val="Arial"/>
        <family val="2"/>
      </rPr>
      <t>33 x 45 cm - referência técnica: ELIANE ou similar, linha Forma cor branco brilhante - fixado com argamassa colante e rejuntamento com rejunte flexível branco antifungo.</t>
    </r>
  </si>
  <si>
    <r>
      <rPr>
        <b/>
        <sz val="8"/>
        <rFont val="Arial"/>
        <family val="2"/>
      </rPr>
      <t xml:space="preserve">Bacia de louça branca com caixa acoplada </t>
    </r>
    <r>
      <rPr>
        <sz val="8"/>
        <rFont val="Arial"/>
        <family val="2"/>
      </rPr>
      <t xml:space="preserve"> - Referência: linha Ravena DECA ou similar linha ECO (botão duplo acionamento) </t>
    </r>
  </si>
  <si>
    <t xml:space="preserve">Assento  laqueado para bacia </t>
  </si>
  <si>
    <t>15410.8.14.2</t>
  </si>
  <si>
    <r>
      <rPr>
        <b/>
        <sz val="8"/>
        <rFont val="Arial"/>
        <family val="2"/>
      </rPr>
      <t>Lavatório de louça branca com coluna</t>
    </r>
    <r>
      <rPr>
        <sz val="8"/>
        <rFont val="Arial"/>
        <family val="2"/>
      </rPr>
      <t xml:space="preserve"> - Referência: linha Ravena Deca ou similar - instalada incluisive válvula de escoamento cromada, sifão, engate cromado para torneira e parafusos cromados para fixação </t>
    </r>
  </si>
  <si>
    <t>Engate flexível metálico para entrada de água (comprimento: 300,00 mm / diâmetro da seção: 1/2 ")</t>
  </si>
  <si>
    <t>Coluna de louça para lavatório - linha Deca Ravena ou similar</t>
  </si>
  <si>
    <t>Lavatório de louça para coluna - padrao popular</t>
  </si>
  <si>
    <t>Parede de gesso acartonado simples (altura: 3,15 m / espessura: 100,00 mm)</t>
  </si>
  <si>
    <t>Tubo em aço escovado 5cm diâmetro</t>
  </si>
  <si>
    <t>Tampo de granito para pia (cor: CINZA ANDORINHA / espessura: 30,00 mm / largura: 0,60 m)</t>
  </si>
  <si>
    <t>PAVIMENTO SOBRELOJA CASARÃO - gabinete, ambulatório, banheiros</t>
  </si>
  <si>
    <t>05.009.000037.</t>
  </si>
  <si>
    <r>
      <rPr>
        <b/>
        <sz val="8"/>
        <rFont val="Arial"/>
        <family val="2"/>
      </rPr>
      <t>Furo</t>
    </r>
    <r>
      <rPr>
        <sz val="8"/>
        <rFont val="Arial"/>
        <family val="2"/>
      </rPr>
      <t xml:space="preserve"> em concreto com coroas diamantadas, utilizando perfuratriz elétrica Ø 5" a 5 1/4" profundidade 40 cm</t>
    </r>
  </si>
  <si>
    <t>05.009.000033.</t>
  </si>
  <si>
    <r>
      <rPr>
        <b/>
        <sz val="8"/>
        <rFont val="Arial"/>
        <family val="2"/>
      </rPr>
      <t>Furo</t>
    </r>
    <r>
      <rPr>
        <sz val="8"/>
        <rFont val="Arial"/>
        <family val="2"/>
      </rPr>
      <t xml:space="preserve"> em concreto com broca de widia, utilizando martele elétrico Ø 1 1/2" profundidade 15 cm</t>
    </r>
  </si>
  <si>
    <r>
      <rPr>
        <b/>
        <sz val="8"/>
        <rFont val="Arial"/>
        <family val="2"/>
      </rPr>
      <t>Demolição de laje  -</t>
    </r>
    <r>
      <rPr>
        <sz val="8"/>
        <rFont val="Arial"/>
        <family val="2"/>
      </rPr>
      <t xml:space="preserve"> alçapão (50x50)cm- para acesso e execução das instalações hidrossanitárias - inclui transporte até a caçamba</t>
    </r>
  </si>
  <si>
    <r>
      <rPr>
        <b/>
        <sz val="8"/>
        <rFont val="Arial"/>
        <family val="2"/>
      </rPr>
      <t xml:space="preserve">PM 90x210 </t>
    </r>
    <r>
      <rPr>
        <sz val="8"/>
        <rFont val="Arial"/>
        <family val="2"/>
      </rPr>
      <t>- Porta de madeira tipo VAI/VEM compensada lisa para pintura, com fundo primer (Referência Camilotti ou similar), 90X210X3, 5 cm, completa inclusive batentes, vistas, dobradiça tipo vai/vem e fechadura (Referência: Papaiz ou similar) - conforme memorial descritivo - INSTALAR NO ACESSO AO REFEITORIO, ENTRE O REFEITÓRIO E A COPA E NO ACESSO À COPINHA</t>
    </r>
  </si>
  <si>
    <r>
      <rPr>
        <b/>
        <sz val="8"/>
        <rFont val="Arial"/>
        <family val="2"/>
      </rPr>
      <t>PM 90x210</t>
    </r>
    <r>
      <rPr>
        <sz val="8"/>
        <rFont val="Arial"/>
        <family val="2"/>
      </rPr>
      <t xml:space="preserve"> - correr - Porta de madeira compensada lisa para pintura, com fundo primer (Referência: Camilotti ou similar), 90X210X3, 5 cm, completa inclusive batente, vista, trilhos e fechadura tipo bico de papagaio 45mm, dois puxadores verticais 40cm - conforme memorial descritivo.</t>
    </r>
  </si>
  <si>
    <t>RODAPÉS, SOLEIRAS E PEITORIS</t>
  </si>
  <si>
    <r>
      <rPr>
        <b/>
        <sz val="8"/>
        <rFont val="Arial"/>
        <family val="2"/>
      </rPr>
      <t>REGISTRO GAVETA 3/4</t>
    </r>
    <r>
      <rPr>
        <sz val="8"/>
        <rFont val="Arial"/>
        <family val="2"/>
      </rPr>
      <t>"  - com canopla e acabamento simples - fornecimento e instalação - sanitários e copas</t>
    </r>
  </si>
  <si>
    <r>
      <rPr>
        <b/>
        <sz val="8"/>
        <rFont val="Arial"/>
        <family val="2"/>
      </rPr>
      <t xml:space="preserve">REINSTALAÇÃO DE CUBA DE LOUÇA BRANCA </t>
    </r>
    <r>
      <rPr>
        <sz val="8"/>
        <rFont val="Arial"/>
        <family val="2"/>
      </rPr>
      <t xml:space="preserve">- reutilização do material retirado </t>
    </r>
  </si>
  <si>
    <t>15410.8.27.2</t>
  </si>
  <si>
    <r>
      <rPr>
        <b/>
        <sz val="8"/>
        <rFont val="Arial"/>
        <family val="2"/>
      </rPr>
      <t>Reinstalação de Torneira de pressão cromada para lavatório com fechamento automático</t>
    </r>
    <r>
      <rPr>
        <sz val="8"/>
        <rFont val="Arial"/>
        <family val="2"/>
      </rPr>
      <t xml:space="preserve"> - Referência: Torneira Lavatório uso público mesa Pressmatic Alfa CR 446106 - Docol ou similar - fechamaneto automático ou similar</t>
    </r>
  </si>
  <si>
    <r>
      <rPr>
        <b/>
        <sz val="8"/>
        <rFont val="Arial"/>
        <family val="2"/>
      </rPr>
      <t xml:space="preserve">Desmontagem e remoção de divisórias </t>
    </r>
    <r>
      <rPr>
        <sz val="8"/>
        <rFont val="Arial"/>
        <family val="2"/>
      </rPr>
      <t>/naval - inclusive perfis e acessórios de fixação - inclui transporte até a caçamba</t>
    </r>
  </si>
  <si>
    <t>pintura teto
(gesso)</t>
  </si>
  <si>
    <t>pintura de teto 
(madeira)</t>
  </si>
  <si>
    <t>FORROS, AZULEJOS, PISOS E RODAPÉS</t>
  </si>
  <si>
    <t>INSTALAÇÕES DE AR CONDICIONADO</t>
  </si>
  <si>
    <t xml:space="preserve">REDES </t>
  </si>
  <si>
    <t>17010.8.1.10</t>
  </si>
  <si>
    <t>DIVERSOS sobre materiais para colocação de condicionador de ar tipo Split "Underceiling", 9.000 Btu/h</t>
  </si>
  <si>
    <t>nd</t>
  </si>
  <si>
    <t>13.006.000002.</t>
  </si>
  <si>
    <t>Tubo soldável de cobre para água fria/água quente/incêndio em instalações residenciais - classe e (diâmetro nominal: 22 mm)</t>
  </si>
  <si>
    <t>13.007.000020.</t>
  </si>
  <si>
    <t>Tubo soldável de cobre para água fria/água quente/incêndio em instalações residenciais - classe e (diâmetro nominal: 42 mm)</t>
  </si>
  <si>
    <t>Pasta para soldar cobre e bronze</t>
  </si>
  <si>
    <t>Estanho para solda 50x50</t>
  </si>
  <si>
    <t>Fio isolado em PVC (encordoamento: classe 1 / seção transversal: 2,50 mm² / tensão: 750,00 V)</t>
  </si>
  <si>
    <t>DIVERSOS sobre materiais para colocação de condicionador de ar tipo Split "Underceiling", 18.000 Btu/h</t>
  </si>
  <si>
    <t>EQUIPAMENTOS - BDI diferenciado</t>
  </si>
  <si>
    <t>BDI DIFERENCIADO</t>
  </si>
  <si>
    <t>BDI equipamentos:</t>
  </si>
  <si>
    <t>DRENOS DOS EQUIPAMENTOS CONDICIONADORES DE AR</t>
  </si>
  <si>
    <t>2.3</t>
  </si>
  <si>
    <t>3.1.10</t>
  </si>
  <si>
    <t>3.1.11</t>
  </si>
  <si>
    <t>3.1.12</t>
  </si>
  <si>
    <t>3.3.3</t>
  </si>
  <si>
    <t>3.4.2</t>
  </si>
  <si>
    <t>3.8.1</t>
  </si>
  <si>
    <t>4.1.3</t>
  </si>
  <si>
    <t>4.1.10</t>
  </si>
  <si>
    <t>4.3.3</t>
  </si>
  <si>
    <t>4.8.22</t>
  </si>
  <si>
    <t>4.8.23</t>
  </si>
  <si>
    <t>4.10.2</t>
  </si>
  <si>
    <t>4.10.3</t>
  </si>
  <si>
    <t>4.10.4</t>
  </si>
  <si>
    <t>4.10.5</t>
  </si>
  <si>
    <t>5.1.3</t>
  </si>
  <si>
    <t>5.4.4</t>
  </si>
  <si>
    <t>5.4.5</t>
  </si>
  <si>
    <t>6.1.2</t>
  </si>
  <si>
    <t>6.1.3</t>
  </si>
  <si>
    <t>6.1.4</t>
  </si>
  <si>
    <t>6.4</t>
  </si>
  <si>
    <t>6.4.2</t>
  </si>
  <si>
    <t>6.4.4</t>
  </si>
  <si>
    <t>6.4.5</t>
  </si>
  <si>
    <t>6.5</t>
  </si>
  <si>
    <t>6.5.1</t>
  </si>
  <si>
    <t>6.5.2</t>
  </si>
  <si>
    <t>6.6</t>
  </si>
  <si>
    <t>6.6.1</t>
  </si>
  <si>
    <t>6.7</t>
  </si>
  <si>
    <t>6.7.1</t>
  </si>
  <si>
    <t>6.7.2</t>
  </si>
  <si>
    <t>6.8</t>
  </si>
  <si>
    <t>6.8.1</t>
  </si>
  <si>
    <t>6.8.2</t>
  </si>
  <si>
    <t>6.8.4</t>
  </si>
  <si>
    <t>6.8.5</t>
  </si>
  <si>
    <t>6.8.6</t>
  </si>
  <si>
    <t>6.8.7</t>
  </si>
  <si>
    <t>6.8.8</t>
  </si>
  <si>
    <t>6.8.9</t>
  </si>
  <si>
    <t>6.8.10</t>
  </si>
  <si>
    <t>6.8.11</t>
  </si>
  <si>
    <t>6.8.12</t>
  </si>
  <si>
    <t>6.8.13</t>
  </si>
  <si>
    <t>6.8.14</t>
  </si>
  <si>
    <t>6.8.15</t>
  </si>
  <si>
    <t>6.9</t>
  </si>
  <si>
    <t>6.10</t>
  </si>
  <si>
    <t>6.10.1</t>
  </si>
  <si>
    <t>7.1</t>
  </si>
  <si>
    <t>7.1.1</t>
  </si>
  <si>
    <t>7.2</t>
  </si>
  <si>
    <t>7.2.1</t>
  </si>
  <si>
    <t>7.4</t>
  </si>
  <si>
    <t>7.4.1</t>
  </si>
  <si>
    <t>74220/1</t>
  </si>
  <si>
    <t>2.4</t>
  </si>
  <si>
    <t>2.5</t>
  </si>
  <si>
    <r>
      <rPr>
        <b/>
        <sz val="8"/>
        <rFont val="Arial"/>
        <family val="2"/>
      </rPr>
      <t>TAPUME DE CHAPA DE MADEIRA COMPENSADA</t>
    </r>
    <r>
      <rPr>
        <sz val="8"/>
        <rFont val="Arial"/>
        <family val="2"/>
      </rPr>
      <t>, E= 6MM, COM PINTURA A CAL - para delimitação da área de trabalho no térreo e na sobreloja do Casarão</t>
    </r>
    <r>
      <rPr>
        <b/>
        <sz val="8"/>
        <rFont val="Arial"/>
        <family val="2"/>
      </rPr>
      <t xml:space="preserve">
</t>
    </r>
  </si>
  <si>
    <t>LIMPEZA DA OBRA</t>
  </si>
  <si>
    <t>DRENOS PARA AR CONDICIONADO</t>
  </si>
  <si>
    <t>INSTALAÇÃO GÁS</t>
  </si>
  <si>
    <t>FURO EM CONCRETO</t>
  </si>
  <si>
    <t>CASA DE GÁS</t>
  </si>
  <si>
    <t>ALVENARIA</t>
  </si>
  <si>
    <t xml:space="preserve">LAJE </t>
  </si>
  <si>
    <t>PÉ DIREITO</t>
  </si>
  <si>
    <t>PLATIBADA</t>
  </si>
  <si>
    <t>PILARES (4UNIDADES 15X15)</t>
  </si>
  <si>
    <t>VIGA AMARRAÇÃO 
(7,30M DE 15X10)</t>
  </si>
  <si>
    <t>CHAPISCO/EMBOÇO</t>
  </si>
  <si>
    <t>CONCRETO</t>
  </si>
  <si>
    <t>FORMA</t>
  </si>
  <si>
    <t>AÇO</t>
  </si>
  <si>
    <t>VERGA (10X10) LATERAIS</t>
  </si>
  <si>
    <t>PORTA VENEZIANA ABRIR</t>
  </si>
  <si>
    <t>VENEZIANA ALUMINIO FIXA</t>
  </si>
  <si>
    <t>TUBULAÇÃO</t>
  </si>
  <si>
    <t>TUBO COBRE 22MM</t>
  </si>
  <si>
    <t>KIT GÁS CASA DE GÁS</t>
  </si>
  <si>
    <t>KIT GÁS INSTALAÇÃO FOGAÕ</t>
  </si>
  <si>
    <t>INSTALAÇÃO DO GÁS</t>
  </si>
  <si>
    <t>PILARES - 04 UNIDADES DE 15X15CM</t>
  </si>
  <si>
    <t>REVESTIMENTOS</t>
  </si>
  <si>
    <t>INSTALAÇÕES DE GÁS</t>
  </si>
  <si>
    <r>
      <rPr>
        <b/>
        <sz val="8"/>
        <rFont val="Arial"/>
        <family val="2"/>
      </rPr>
      <t>EXTINTOR DE PÓ CLASSE ABC</t>
    </r>
    <r>
      <rPr>
        <sz val="8"/>
        <rFont val="Arial"/>
        <family val="2"/>
      </rPr>
      <t xml:space="preserve"> - 6kg - fornecimento e instalação.</t>
    </r>
  </si>
  <si>
    <t>UN</t>
  </si>
  <si>
    <t>INSTALAÇÕES DE PREVENÇÃO CONTRA INCÊNDIOS</t>
  </si>
  <si>
    <t>74061/2</t>
  </si>
  <si>
    <t xml:space="preserve">TUBO DE COBRE CLASSE "E" 22MM - FORNECIMENTO E INSTALACAO 
</t>
  </si>
  <si>
    <t>encanador</t>
  </si>
  <si>
    <t xml:space="preserve">tubo de cobre classe "E" 22mm  </t>
  </si>
  <si>
    <t>Mangueira flexível para gás GLP - borracha + malha 4 m.</t>
  </si>
  <si>
    <t>acrescido 40% para conexões</t>
  </si>
  <si>
    <t>SERVIÇOS INICIAIS</t>
  </si>
  <si>
    <t xml:space="preserve">ELABORAÇÃO E FORNECIMENTO DE DIMENSIONAMENTO E DETALHAMENTO DAS INSTALAÇÕES DE GÁS GLP </t>
  </si>
  <si>
    <t>COMPOSIÇÃO PROPRIA</t>
  </si>
  <si>
    <t xml:space="preserve">ENGENHEIRO </t>
  </si>
  <si>
    <t>7.3</t>
  </si>
  <si>
    <t>7.3.1</t>
  </si>
  <si>
    <t>7.3.2</t>
  </si>
  <si>
    <t>7.3.3</t>
  </si>
  <si>
    <t>7.3.4</t>
  </si>
  <si>
    <t>7.3.5</t>
  </si>
  <si>
    <t>7.3.6</t>
  </si>
  <si>
    <t>7.3.7</t>
  </si>
  <si>
    <t>7.3.8</t>
  </si>
  <si>
    <t>7.3.9</t>
  </si>
  <si>
    <t>7.5</t>
  </si>
  <si>
    <t>7.5.1</t>
  </si>
  <si>
    <t>7.5.2</t>
  </si>
  <si>
    <t>7.6</t>
  </si>
  <si>
    <t>7.6.1</t>
  </si>
  <si>
    <t>7.6.2</t>
  </si>
  <si>
    <t>7.7</t>
  </si>
  <si>
    <t>7.7.1</t>
  </si>
  <si>
    <t>7.7.2</t>
  </si>
  <si>
    <t>7.7.3</t>
  </si>
  <si>
    <t>7.8</t>
  </si>
  <si>
    <t>7.8.1</t>
  </si>
  <si>
    <t>7.9</t>
  </si>
  <si>
    <t>7.9.1</t>
  </si>
  <si>
    <t>7.10</t>
  </si>
  <si>
    <t>7.10.1</t>
  </si>
  <si>
    <t xml:space="preserve">COMPOSI CAO </t>
  </si>
  <si>
    <t>I NSUMO</t>
  </si>
  <si>
    <t xml:space="preserve">I NSUMO </t>
  </si>
  <si>
    <t xml:space="preserve">PECA DE MADEI RA NATI VA / REGI ONAL 7 , 5 X 7 , 5CM ( 3X3 ) NAO APARELHADA ( P/ FORMA) </t>
  </si>
  <si>
    <t>PLACA DE OBRA ( PARA CONSTRUCAO CI VI L ) EM CHAPA GALVANI ZADA * Nº 2 2 * , PI NTADA, DE * 2 , 0 X 1 , 0 * M, SEM COLOCACAO</t>
  </si>
  <si>
    <t xml:space="preserve">PREGO POL I DO COM CABECA 1 8 X 3 0 </t>
  </si>
  <si>
    <t>CONCRETO NAO ESTRUTURAL , CONSUMO 1 5 0KG/ M3 , PREPARO COM BETONEI RA, SEM LANCAMENTO</t>
  </si>
  <si>
    <t xml:space="preserve">PECA DE MADEI RA DE LEI * 2 , 5 X 7 , 5 * CM ( 1 " X 3 " ) , NÃO APARELHADA, ( P/ TELHADO) </t>
  </si>
  <si>
    <t>COMPOSI CAO</t>
  </si>
  <si>
    <t xml:space="preserve">ANDAI ME METAL I CO TI PO FACHADEI RO LARG=1 , 2 0M ALTURA = 2 , 0M </t>
  </si>
  <si>
    <t xml:space="preserve">M2 / MES </t>
  </si>
  <si>
    <t xml:space="preserve">H </t>
  </si>
  <si>
    <t xml:space="preserve"> LONA PLASTI CA, COR PRETA, ESPESSURA DE 1 5 0 MI CRAS</t>
  </si>
  <si>
    <t xml:space="preserve"> M2 </t>
  </si>
  <si>
    <t xml:space="preserve">SERVENTE </t>
  </si>
  <si>
    <t xml:space="preserve"> MONTADOR </t>
  </si>
  <si>
    <t>CAL HI DRATADA, DE 1A. QUAL I DADE, PARA ARGAMASSA</t>
  </si>
  <si>
    <t xml:space="preserve">CHAPA MADEI RA COMPENSADA RESI NADA 2 , 2 X 1 , 1M X 6MM P/ FORMA CONCRETO </t>
  </si>
  <si>
    <t xml:space="preserve"> PREGO POL I DO COM CABECA 1 8 X 2 7 </t>
  </si>
  <si>
    <t xml:space="preserve"> OLEO DE L I NHACA</t>
  </si>
  <si>
    <t xml:space="preserve">CARPI NTEI RO DE FORMAS </t>
  </si>
  <si>
    <t xml:space="preserve">PI NTOR </t>
  </si>
  <si>
    <t xml:space="preserve">ACI DO MURI ATI CO ( SOLUCAO ACI DA) </t>
  </si>
  <si>
    <t>PEDREIRO</t>
  </si>
  <si>
    <t>CARPINTEIRO DE ESQUADRIAS</t>
  </si>
  <si>
    <t>72238
SIMILAR</t>
  </si>
  <si>
    <t>AJUDANTE DE CARPINTEIRO</t>
  </si>
  <si>
    <t xml:space="preserve">CHAPA MADEI RA COMPENSADA RESI NADA 2 , 2 X 1 , 1M ( 1 2MM) P/ FORMA CONCRETO </t>
  </si>
  <si>
    <t xml:space="preserve">UN </t>
  </si>
  <si>
    <t xml:space="preserve"> DESMOLDANTE PARA FORMA DE MADEI RA</t>
  </si>
  <si>
    <t xml:space="preserve">L </t>
  </si>
  <si>
    <t>PECA DE MADEI RANATI VA/ REGI ONAL 2 , 5 X 1 0CM ( 1X4 " ) NAO APARELHADA ( SARRAFO P/ FORMA)</t>
  </si>
  <si>
    <t>PREGO POL I DO COM CABECA 1 7 X 2 1</t>
  </si>
  <si>
    <t xml:space="preserve">TABUA MADEI RA 2A QUAL I DADE 2 , 5 X 3 0 , 0CM ( 1 X 1 2 " ) NAO APARELHADA </t>
  </si>
  <si>
    <t>73972/1</t>
  </si>
  <si>
    <t xml:space="preserve"> OPERADOR DE BETONEI RA ( CAMI NHÃO) COM ENCARGOS COMPLEMENTARES </t>
  </si>
  <si>
    <t xml:space="preserve"> AREI A MEDI A - POSTO J AZI DA / FORNECEDOR ( SEM FRETE) </t>
  </si>
  <si>
    <t>CI MENTO PORTLAND COMPOSTO CP I I - 3 2</t>
  </si>
  <si>
    <t xml:space="preserve"> KG</t>
  </si>
  <si>
    <t xml:space="preserve">PEDRA BRI TADA N. 2 - POSTO PEDREI RA / FORNECEDOR ( SEM FRETE) </t>
  </si>
  <si>
    <t xml:space="preserve">M3 </t>
  </si>
  <si>
    <t xml:space="preserve"> PEDRA BRI TADA N. 1 - POSTO PEDREI RA / FORNECEDOR ( SEM FRETE) </t>
  </si>
  <si>
    <t xml:space="preserve"> BETONEI RA 5 8 0 L ELETRI CA TRI FASI CA 7 , 5HP C/ CARREGADOR MECANI CO </t>
  </si>
  <si>
    <t>74157/3</t>
  </si>
  <si>
    <t>VI BRADOR DE I MERSAO C/ MOTOR ELETRI CO 2HP MONOFASI CO QUALQUER DI AM C/ MANGOTE</t>
  </si>
  <si>
    <t>73990/1</t>
  </si>
  <si>
    <t>ARMADOR</t>
  </si>
  <si>
    <t>ACO CA- 5 0 , 1 6 , 0 MM, VERGALHAO</t>
  </si>
  <si>
    <t xml:space="preserve">ACO CA- 5 0 , 8 , 0 MM, VERGALHAO </t>
  </si>
  <si>
    <t>ARAME RECOZI DO 1 8 BWG, 1 , 2 5 MM ( 0 , 0 1 KG/ M)</t>
  </si>
  <si>
    <t xml:space="preserve">ARGAMASSA TRAÇO 1 : 0 , 5 : 4 , 5 ( CI MENTO, CAL E AREI A MÉDI A) PARA ASSENTAMENTO DE </t>
  </si>
  <si>
    <t>ADUELA/ BATENTE DUPLO/ CAI XAO/ GRADE CAI XA 1 3 X 3CM P/ PORTA 0 , 6 0 A 1 , 2 0 X 2 , 1 0M MADEI RA CEDRI NHO/ PI NHO/ CANELA OU SI MI LAR</t>
  </si>
  <si>
    <t>jg</t>
  </si>
  <si>
    <t>PARAFUSO ROSCA SOBERBA ACO ZI NC CABECA CHATA FENDA SI MPLES 7 X 6 5 MM</t>
  </si>
  <si>
    <t>PECA DE MADEI RA DE LEI NATI VA/ REGI ONAL 1 0 X 1 0 X 3 CM P/ FI XACAO DE ESQUADRI AS OU RODAPE</t>
  </si>
  <si>
    <t xml:space="preserve">AL I ZAR / GUARNI CAO 5 X 2CM MADEI RA CEDRO/ I MBUI A/ J EQUI TI BA OU SI MI LAR </t>
  </si>
  <si>
    <t>PREGO DE ACO 1 5 X 1 5 C/ CABECA</t>
  </si>
  <si>
    <t xml:space="preserve">CARPI NTEI RO DE ESQUADRIA </t>
  </si>
  <si>
    <t>PEDREI RO</t>
  </si>
  <si>
    <t>INSUMO</t>
  </si>
  <si>
    <t>74068/1</t>
  </si>
  <si>
    <t xml:space="preserve">FECHADURA ZAMAC 40MM EXT. MAGNUM ESP 881/80E CR - PADO </t>
  </si>
  <si>
    <t>7 3 9 1 0 / 7 + COTAÇÃO</t>
  </si>
  <si>
    <t>PORTA MADEIRA COMPENSADA LISA PARA CERA OU VERNIZ 90 X 210 X 3,5CM</t>
  </si>
  <si>
    <t>DOBRADIÇA LATÃO CROMADO 3 X 3" C/ ANÉIS</t>
  </si>
  <si>
    <t>BARRA DE APOIO 25CM CROMADA</t>
  </si>
  <si>
    <t>CONJUNTO DE TRILHO E ROLDANAS PARA PORTA DE CORRER EM ALUMINIO POLIDO</t>
  </si>
  <si>
    <t>PORTA MADEIRA COMPENSADA LISA PARA CERA OU VERNIZ 100 X 210 X 3,5CM</t>
  </si>
  <si>
    <t>DOBRADIÇA VAI/VEM</t>
  </si>
  <si>
    <t>7 3 9 1 0 /09
ADAPTADA</t>
  </si>
  <si>
    <t>7 3 9 1 0 / 7 ADAPTADA</t>
  </si>
  <si>
    <t>AZULEJISTA</t>
  </si>
  <si>
    <t>REJUNTE COLORIDO</t>
  </si>
  <si>
    <t>ARGAMASSA OU CIMENTO COLANTE EM PÓ PARA FIXAÇÃO INTERNA/EXTERNA DE PEÇAS CERÂMICAS, PEDRAS E PORCELANATOS (ACIII)</t>
  </si>
  <si>
    <t>PORCELANATO "A" 60X60 NÓRDICO SNOW RET - INCEPA</t>
  </si>
  <si>
    <t>ARAGAMSSA TRAÇO 1:4 (CIMENTO E AREIA MÉDIA)</t>
  </si>
  <si>
    <t>M³</t>
  </si>
  <si>
    <t>BLOCO CERÂMICO</t>
  </si>
  <si>
    <r>
      <t xml:space="preserve">APLICAÇÃO E LIXAMENTO DE MASSA LÁTEX </t>
    </r>
    <r>
      <rPr>
        <sz val="8"/>
        <rFont val="Arial"/>
        <family val="2"/>
      </rPr>
      <t>em paredes, duas demão</t>
    </r>
  </si>
  <si>
    <t>LIXA PARA PAREDE OU MADEIRA</t>
  </si>
  <si>
    <t>MASSA CORRIDA PVA</t>
  </si>
  <si>
    <t>18L</t>
  </si>
  <si>
    <t>PINTOR</t>
  </si>
  <si>
    <t>TINTA LÁTEX ACRÍLICA</t>
  </si>
  <si>
    <t>L</t>
  </si>
  <si>
    <t>74065/2</t>
  </si>
  <si>
    <t>SOLVENTE DILUENTE À BASE DE AGUARRÁZ</t>
  </si>
  <si>
    <t>FUNDO SINTÉTICO NIVELADOR BRANCO FOSCO PARA MADEIRA</t>
  </si>
  <si>
    <t>GL</t>
  </si>
  <si>
    <t>TINTA ESMALTE SINTÉTICO ACETINADO</t>
  </si>
  <si>
    <t>FITA VEDA ROSCA EM ROLO 18MM X 10M</t>
  </si>
  <si>
    <t>REGISTRO DE GAVETA 1.1/2" - COM CANOPLA CROMADA</t>
  </si>
  <si>
    <t>REGISTRO DE GAVETA 3/4" - COM CANOPLA CROMADA</t>
  </si>
  <si>
    <t>RALO SIFONADO PVC 100X100X50 COM GRELHA BRANCA</t>
  </si>
  <si>
    <t>06.002.000011.</t>
  </si>
  <si>
    <t>06.002.000013.</t>
  </si>
  <si>
    <t>Conjunto de ferragens contendo fechadura com cilindro para Porta externa/bwc/bico de papagaio - maçaneta tipo alavanca com acabamento padrão médio e roseta em latão cromado</t>
  </si>
  <si>
    <r>
      <rPr>
        <b/>
        <sz val="8"/>
        <rFont val="Arial"/>
        <family val="2"/>
      </rPr>
      <t xml:space="preserve">Forma para estruturas de concreto </t>
    </r>
    <r>
      <rPr>
        <sz val="8"/>
        <rFont val="Arial"/>
        <family val="2"/>
      </rPr>
      <t>(pilar, viga e laje) em chapa de madeira compensada resinada, de  1,10 X 2,20, espessura  = 12 mm (fabricação, montagem e desmontagem)</t>
    </r>
  </si>
  <si>
    <r>
      <rPr>
        <b/>
        <sz val="8"/>
        <rFont val="Arial"/>
        <family val="2"/>
      </rPr>
      <t>CONCRETO FCK=2 5MPA</t>
    </r>
    <r>
      <rPr>
        <sz val="8"/>
        <rFont val="Arial"/>
        <family val="2"/>
      </rPr>
      <t>, VI RADO EM BETONEI RA, SEM LANCAMENTO</t>
    </r>
  </si>
  <si>
    <r>
      <rPr>
        <b/>
        <sz val="8"/>
        <rFont val="Arial"/>
        <family val="2"/>
      </rPr>
      <t>LANCAMENTO/ APL I CACAO</t>
    </r>
    <r>
      <rPr>
        <sz val="8"/>
        <rFont val="Arial"/>
        <family val="2"/>
      </rPr>
      <t xml:space="preserve"> MANUAL DE CONCRETO EM ESTRUTURAS</t>
    </r>
  </si>
  <si>
    <r>
      <rPr>
        <b/>
        <sz val="8"/>
        <rFont val="Arial"/>
        <family val="2"/>
      </rPr>
      <t>ARMACAO</t>
    </r>
    <r>
      <rPr>
        <sz val="8"/>
        <rFont val="Arial"/>
        <family val="2"/>
      </rPr>
      <t xml:space="preserve"> ACO CA- 5 0 P/ 1 , 0M3 DE CONCRETO</t>
    </r>
  </si>
  <si>
    <r>
      <rPr>
        <b/>
        <sz val="8"/>
        <rFont val="Arial"/>
        <family val="2"/>
      </rPr>
      <t xml:space="preserve">Parede de gesso acartonado simples </t>
    </r>
    <r>
      <rPr>
        <sz val="8"/>
        <rFont val="Arial"/>
        <family val="2"/>
      </rPr>
      <t>interna, espessura final 100 mm, pé-direito conforme projeto arquitetônico - instalado conforme recomendações do fabricante</t>
    </r>
  </si>
  <si>
    <r>
      <rPr>
        <b/>
        <sz val="8"/>
        <rFont val="Arial"/>
        <family val="2"/>
      </rPr>
      <t>Parede de gesso acartonado para parede interna em local úmido, VERDE</t>
    </r>
    <r>
      <rPr>
        <sz val="8"/>
        <rFont val="Arial"/>
        <family val="2"/>
      </rPr>
      <t>,  espessura final 125 mm, pé-direito conforme projeto arquitetonico - instalado conforme orinetações do fabricante.</t>
    </r>
  </si>
  <si>
    <r>
      <rPr>
        <b/>
        <sz val="8"/>
        <rFont val="Arial"/>
        <family val="2"/>
      </rPr>
      <t>Divisória sanitária</t>
    </r>
    <r>
      <rPr>
        <sz val="8"/>
        <rFont val="Arial"/>
        <family val="2"/>
      </rPr>
      <t xml:space="preserve"> - Referência Técnica:  SANISYSTEM MASTER - composta por painel ESTRUTURAL TS na cor A DEFINIR com espessura final de 10mm. ALTURA DE 1800MM. Montantes em alumínio, acabamento ANODIZADO FOSCO, acessórios para fixação CROMADOS. Fornecimento de 06 UNIDADES de porta, medindo (600x1650x10mm), revestidas na mesma cor dos painéis, dobradiça em alumínio ângulo de abertura de 45°, tarjeta livre/ocupado em nylon injetado na cor PRETA. Fornecimento de 01 UNIDADE de TAPA-MICTÓRIO medindo (400x800x10mm) revestidos na mesma cor dos painéis - FORNECIMENTO E INSTALAÇÃO</t>
    </r>
  </si>
  <si>
    <r>
      <rPr>
        <b/>
        <sz val="8"/>
        <rFont val="Arial"/>
        <family val="2"/>
      </rPr>
      <t>Regularização</t>
    </r>
    <r>
      <rPr>
        <sz val="8"/>
        <rFont val="Arial"/>
        <family val="2"/>
      </rPr>
      <t xml:space="preserve"> de base para aplicação de revestimento cerâmico</t>
    </r>
  </si>
  <si>
    <t>AREIA MÉDIA LAVADA</t>
  </si>
  <si>
    <t>CIMENTO CP 32</t>
  </si>
  <si>
    <t>EMULSÃO ADESIVA A BASE DE RESINAS SINTÉTICAS - VIAFIX</t>
  </si>
  <si>
    <t>AJUDANTE DE ENCANADOS</t>
  </si>
  <si>
    <t>ENCANADOR</t>
  </si>
  <si>
    <t>AJUDANTE DE ENCANADOR</t>
  </si>
  <si>
    <t>ENCANDOR</t>
  </si>
  <si>
    <t>AJUDANTE DE ELETRICISTA</t>
  </si>
  <si>
    <r>
      <rPr>
        <b/>
        <sz val="8"/>
        <rFont val="Arial"/>
        <family val="2"/>
      </rPr>
      <t>PINTURA ESMALTE ACETINADO</t>
    </r>
    <r>
      <rPr>
        <sz val="8"/>
        <rFont val="Arial"/>
        <family val="2"/>
      </rPr>
      <t xml:space="preserve">, em </t>
    </r>
    <r>
      <rPr>
        <b/>
        <sz val="8"/>
        <rFont val="Arial"/>
        <family val="2"/>
      </rPr>
      <t>FORRO</t>
    </r>
    <r>
      <rPr>
        <sz val="8"/>
        <rFont val="Arial"/>
        <family val="2"/>
      </rPr>
      <t xml:space="preserve"> de madeira, duas demão - incluisve preparo</t>
    </r>
  </si>
  <si>
    <r>
      <rPr>
        <b/>
        <sz val="8"/>
        <rFont val="Arial"/>
        <family val="2"/>
      </rPr>
      <t>LANCAMENTO/ APLICACAO</t>
    </r>
    <r>
      <rPr>
        <sz val="8"/>
        <rFont val="Arial"/>
        <family val="2"/>
      </rPr>
      <t xml:space="preserve"> MANUAL DE CONCRETO EM ESTRUTURAS</t>
    </r>
  </si>
  <si>
    <t>73910/3</t>
  </si>
  <si>
    <r>
      <rPr>
        <b/>
        <sz val="8"/>
        <rFont val="Arial"/>
        <family val="2"/>
      </rPr>
      <t xml:space="preserve">PM 70x210 </t>
    </r>
    <r>
      <rPr>
        <sz val="8"/>
        <rFont val="Arial"/>
        <family val="2"/>
      </rPr>
      <t xml:space="preserve">- Porta de madeira tipo compensada lisa para pintura, com fundo primer (Referência Camilotti ou similar), 70X210X3, 5 cm, completa inclusive batentes, vistas, dobradiça tipo vai/vem e fechadura (Referência: Papaiz ou similar) - conforme memorial descritivo </t>
    </r>
  </si>
  <si>
    <t>PORTA MADEIRA COMPENSADA LISA PARA CERA OU VERNIZ 70X 210 X 3,5CM</t>
  </si>
  <si>
    <t>ARGAMASSA OU CIMENTO COLANTE EM PÓ PARA FIXAÇÃO DE PEÇAS CERÂMICAS</t>
  </si>
  <si>
    <t xml:space="preserve">73910/5  </t>
  </si>
  <si>
    <r>
      <rPr>
        <b/>
        <sz val="8"/>
        <rFont val="Arial"/>
        <family val="2"/>
      </rPr>
      <t>PM 80x210</t>
    </r>
    <r>
      <rPr>
        <sz val="8"/>
        <rFont val="Arial"/>
        <family val="2"/>
      </rPr>
      <t xml:space="preserve"> - Porta de madeira compensada lisa para pintura, com fundo primer (Referência: Camilotti ou similar), 80X210X3, 5 cm, completa inclusive batente, vista, dobradiça e fechadura (Referência: Papaiz ou similar) - conforme memorial descritivo.</t>
    </r>
  </si>
  <si>
    <t>PORTA MADEIRA COMPENSADA LISA PARA CERA OU VERNIZ 80X 210 X 3,5CM</t>
  </si>
  <si>
    <t>Prego de aço 15x15 c/ cabeça</t>
  </si>
  <si>
    <t>7 3 9 1 0 / 7</t>
  </si>
  <si>
    <t>SERRALHEIRO</t>
  </si>
  <si>
    <t>BASCULANTE ALUMINIO SÉRIE R</t>
  </si>
  <si>
    <t>VIDRO LISO INCOLOR 4MM</t>
  </si>
  <si>
    <t>74067/2</t>
  </si>
  <si>
    <t>J ANELA ALUMI NI O CORRER SERI E 2 5 FOLHAS PARA VI DRO
COM BANDEI RA , 1 6 0 X 1 1 0CM ( I NCLUSO GUARNI ÇÃO E VI DRO L I SO I NCOLOR)</t>
  </si>
  <si>
    <r>
      <rPr>
        <b/>
        <sz val="8"/>
        <rFont val="Arial"/>
        <family val="2"/>
      </rPr>
      <t>REGISTRO GAVETA 3/4"</t>
    </r>
    <r>
      <rPr>
        <sz val="8"/>
        <rFont val="Arial"/>
        <family val="2"/>
      </rPr>
      <t xml:space="preserve">  - com canopla e acabamento simples - fornecimento e instalação - sanitários e copas</t>
    </r>
  </si>
  <si>
    <t>74071/002</t>
  </si>
  <si>
    <t>PORTA ALUMI NI O ABRI R, PERFI L SERI E 2 5 , CHAPA CORRUGADA C/ GUARNI CAO 8 7 X 2 1 0CM</t>
  </si>
  <si>
    <r>
      <rPr>
        <b/>
        <sz val="8"/>
        <rFont val="Arial"/>
        <family val="2"/>
      </rPr>
      <t xml:space="preserve">PAV 60x180 </t>
    </r>
    <r>
      <rPr>
        <sz val="8"/>
        <rFont val="Arial"/>
        <family val="2"/>
      </rPr>
      <t>- 02 unidades - PORTA DE ALUMÍNIO ANODIZADO NATURAL TIPO VENEZIANA, 60X180, COMPLETA INCLUSIVE BATENTES E ALISAR, DOBRADICAS e FECHADURA (Ref: Papaiz ou similar) - CONFORME MEMORIAL DESCRITIVO</t>
    </r>
  </si>
  <si>
    <r>
      <rPr>
        <b/>
        <sz val="8"/>
        <rFont val="Arial"/>
        <family val="2"/>
      </rPr>
      <t xml:space="preserve">VENEZIANA EM </t>
    </r>
    <r>
      <rPr>
        <sz val="8"/>
        <rFont val="Arial"/>
        <family val="2"/>
      </rPr>
      <t>ALUMÍNIO ANODIZADO NATURAL TIPO FIXO - 85X25CM - 04 unidades</t>
    </r>
  </si>
  <si>
    <t xml:space="preserve">ARGAMASSA TRAÇO 1 : 3 ( CI MENTO E AREI A GROSSA) PARA CHAPI SCO CONVENCI ONAL , PREPARO MECÂNI CO COM BETONEI RA 4 0 0 L </t>
  </si>
  <si>
    <t>ARGAMASSA TRAÇO 1 : 2 : 8 ( CI MENTO, CAL E AREI A MÉDI A) PARA EMBOÇO/ MASSA
ÚNI CA/ ASSENTAMENTO DE ALVENARI A DE VEDAÇÃO</t>
  </si>
  <si>
    <t>3.2.4</t>
  </si>
  <si>
    <t>4.2.4</t>
  </si>
  <si>
    <t>4.4.1</t>
  </si>
  <si>
    <t>4.4.2</t>
  </si>
  <si>
    <t>4.4.3</t>
  </si>
  <si>
    <t>4.4.4</t>
  </si>
  <si>
    <t>4.4.5</t>
  </si>
  <si>
    <t>4.5.1</t>
  </si>
  <si>
    <t>4.5.2</t>
  </si>
  <si>
    <t>4.6.1</t>
  </si>
  <si>
    <t>4.6.2</t>
  </si>
  <si>
    <t>4.8.1</t>
  </si>
  <si>
    <t>5.1.2</t>
  </si>
  <si>
    <t>5.2.1</t>
  </si>
  <si>
    <t>5.3.1</t>
  </si>
  <si>
    <t>5.3.2</t>
  </si>
  <si>
    <t>5.5.1</t>
  </si>
  <si>
    <t>5.5.2</t>
  </si>
  <si>
    <t>5.5.3</t>
  </si>
  <si>
    <t>5.5.4</t>
  </si>
  <si>
    <t>5.5.5</t>
  </si>
  <si>
    <t>5.5.6</t>
  </si>
  <si>
    <t>5.6.1</t>
  </si>
  <si>
    <t>5.6.2</t>
  </si>
  <si>
    <t>5.6.3</t>
  </si>
  <si>
    <t>5.6.4</t>
  </si>
  <si>
    <t>6.2.1</t>
  </si>
  <si>
    <t>6.2.2</t>
  </si>
  <si>
    <t>6.2.3</t>
  </si>
  <si>
    <t>6.2.4</t>
  </si>
  <si>
    <t>6.4.1</t>
  </si>
  <si>
    <t>6.4.6</t>
  </si>
  <si>
    <t>6.9.1</t>
  </si>
  <si>
    <t>6.9.2</t>
  </si>
  <si>
    <t>6.9.3</t>
  </si>
  <si>
    <t>7.3.10</t>
  </si>
  <si>
    <t>7.3.11</t>
  </si>
  <si>
    <t>7.3.12</t>
  </si>
  <si>
    <t>ítem</t>
  </si>
  <si>
    <t>dobradiça vai/vem</t>
  </si>
  <si>
    <t>cotação 01</t>
  </si>
  <si>
    <t>cotação 02</t>
  </si>
  <si>
    <t>cotação 03</t>
  </si>
  <si>
    <t>Euro
R$ 39,63</t>
  </si>
  <si>
    <t>Mundo das Fechaduras
R$ 39,90</t>
  </si>
  <si>
    <t>Mundo das Fechaduras
R$ 36,80</t>
  </si>
  <si>
    <t>barra para apoio 25cm</t>
  </si>
  <si>
    <t>Balaroti
R$ 93,15</t>
  </si>
  <si>
    <t>Vitória Metais
R$ 108,00</t>
  </si>
  <si>
    <t>Igor Ferragens
R$ 80,38</t>
  </si>
  <si>
    <t>trilho e roldanas (porta correr)</t>
  </si>
  <si>
    <t>Tray
R$ 270,20</t>
  </si>
  <si>
    <t>Pinezi
R$ 269,00</t>
  </si>
  <si>
    <t>Ferragens Colar
R$ 219,85</t>
  </si>
  <si>
    <t>assento plástico Vogue Plus</t>
  </si>
  <si>
    <t>Balaroti
R$ 91,80</t>
  </si>
  <si>
    <t>Leroy
R$ 111,90</t>
  </si>
  <si>
    <t>Casa Show
R$ 94,80</t>
  </si>
  <si>
    <t>Bacia Vogue PNE</t>
  </si>
  <si>
    <t>Hidro Shop
R$ 429,00</t>
  </si>
  <si>
    <t>Leroy
R$ 392,90</t>
  </si>
  <si>
    <t>Merc
R$ 340,00</t>
  </si>
  <si>
    <t>Leroy
R$ 110,80</t>
  </si>
  <si>
    <t>Merc
R$ 107,06</t>
  </si>
  <si>
    <t>Obra Fácil
R$ 94,67</t>
  </si>
  <si>
    <t>Coluna para lavatório suspenso</t>
  </si>
  <si>
    <t>Lavatório suspenso</t>
  </si>
  <si>
    <t>C e C
R$ 97,90</t>
  </si>
  <si>
    <t>Leroy
R$ 90,80</t>
  </si>
  <si>
    <t>Merc
R$ 96,17</t>
  </si>
  <si>
    <t>Torneira para copa</t>
  </si>
  <si>
    <t>Leroy
R$ 149,90</t>
  </si>
  <si>
    <t>Balaroti
R$ 190,45</t>
  </si>
  <si>
    <t>Obra Fácil
R$ 183,54</t>
  </si>
  <si>
    <t>Leroy
R$998,00</t>
  </si>
  <si>
    <t>C e C
R$ 305,30</t>
  </si>
  <si>
    <t>Twenga
R$ 283,00</t>
  </si>
  <si>
    <t>Barra segurança lavatório</t>
  </si>
  <si>
    <t>Barra segurança 80cm</t>
  </si>
  <si>
    <t>Casa Show
R$ 199,90</t>
  </si>
  <si>
    <t>C e C
R$ 103,10</t>
  </si>
  <si>
    <t>Leroy
R$ 110,90</t>
  </si>
  <si>
    <t>Acabamento válvula descarga Benefit</t>
  </si>
  <si>
    <t>Leroy
R$ 520,90</t>
  </si>
  <si>
    <t>Merc
R$ 306,16</t>
  </si>
  <si>
    <t>C e C
R$ 434,90</t>
  </si>
  <si>
    <t>Divisórias sanitárias</t>
  </si>
  <si>
    <t>SINAPI
Divisórias R$ 6.226,50
ferragens: R$ 395,76
portas R$2.605,15
total R$ 9.227,41</t>
  </si>
  <si>
    <t>Fechadura Zamac 40mm Magnum</t>
  </si>
  <si>
    <t>Balaroti
R$ 71,00</t>
  </si>
  <si>
    <t>Bimbom
R$ 82,90</t>
  </si>
  <si>
    <t>TCPO
divisórias: 8.433,00
portas (incl. ferragens): R$ 3.238,50
total: R11.671,50</t>
  </si>
  <si>
    <t>Casa Show 
R$ 72,90</t>
  </si>
  <si>
    <t>Balaroti
R$ 74,32</t>
  </si>
  <si>
    <t>C e C
R$ 93,00</t>
  </si>
  <si>
    <t>Merc
R$ 73,35</t>
  </si>
  <si>
    <t>Papeleira Deca Flex 2020</t>
  </si>
  <si>
    <t>Gancho Deca Flex 2060</t>
  </si>
  <si>
    <t>Balaroti
R$ 40,08</t>
  </si>
  <si>
    <t>C e C
R$ 49,70</t>
  </si>
  <si>
    <t>Merc
R$ 38,85</t>
  </si>
  <si>
    <t>Sabonete liquido</t>
  </si>
  <si>
    <t>Toda Oferta
R$ 12,86</t>
  </si>
  <si>
    <t>JW Distribuidora
R$ 13,40</t>
  </si>
  <si>
    <t>Embalagens Paraná
R$ 14,80</t>
  </si>
  <si>
    <t>Dispenser toalha papel</t>
  </si>
  <si>
    <t>Alpha
R$ 22,61</t>
  </si>
  <si>
    <t>Papelex
R$ 22,61</t>
  </si>
  <si>
    <t>Gimba.com
R$ 23,93</t>
  </si>
  <si>
    <t>Rodapés Santa Luzia</t>
  </si>
  <si>
    <t>C e C
R$ 28,90</t>
  </si>
  <si>
    <t>Leroy
R$ 24,90</t>
  </si>
  <si>
    <t>Casa do Marceneiro
R$ 20,14</t>
  </si>
  <si>
    <t>Ar condicionado 9.000</t>
  </si>
  <si>
    <t>Americanas
R$ 1.196,14</t>
  </si>
  <si>
    <t>Submarino
R$ 1.262,60</t>
  </si>
  <si>
    <t>Central Ar
R$ 987,05</t>
  </si>
  <si>
    <t>Casa do Desconto
R$ 999,00</t>
  </si>
  <si>
    <t>Ar condicionado 12.000</t>
  </si>
  <si>
    <t>Refrirede
R$ 1.315,03</t>
  </si>
  <si>
    <t>Multi Ar
R$ 1234,05</t>
  </si>
  <si>
    <t>Fast
R$ 1.390,59</t>
  </si>
  <si>
    <t>Walmart
R$ 1.498,00</t>
  </si>
  <si>
    <t>Magazine Luiza
R$ 1.231,10</t>
  </si>
  <si>
    <t>Lavatório com coluna</t>
  </si>
  <si>
    <t>C e C
R$ 154,80</t>
  </si>
  <si>
    <t>Leroy
R$ 158,80</t>
  </si>
  <si>
    <t>Mimosa
R$ 122,05</t>
  </si>
  <si>
    <t>Bacia com caixa acoplada</t>
  </si>
  <si>
    <t>C e C
R$ 247,90</t>
  </si>
  <si>
    <t>Leroy
R$ 432,80</t>
  </si>
  <si>
    <t>Mimosa
R$ 360,00</t>
  </si>
  <si>
    <t>Mangueira gás</t>
  </si>
  <si>
    <t>Icegás
R$ 79,90</t>
  </si>
  <si>
    <t>Igor Ferragens
R$ 91,90</t>
  </si>
  <si>
    <t>Igor Ferragens
R$ 77,75</t>
  </si>
  <si>
    <t>kit instalação de gás 2 P 45</t>
  </si>
  <si>
    <t>Icegás
R$ 137,65</t>
  </si>
  <si>
    <t>Brenny
R$ 186,67</t>
  </si>
  <si>
    <t>Cosama
R$ 165,00</t>
  </si>
  <si>
    <t>extintor ABC 6kg</t>
  </si>
  <si>
    <t>Soma
R$ 130,00</t>
  </si>
  <si>
    <t>Conecta
R$ 129,00</t>
  </si>
  <si>
    <t>Delcomex
R$ 142,00</t>
  </si>
  <si>
    <t>Resumo das cotaçãos</t>
  </si>
  <si>
    <t>Divisystem
sistema completo - divisórias, ferragens e portas
R$ 9.181,62</t>
  </si>
  <si>
    <t>Bacia de louça e caixa acoplada - linha Ravena DECA ou similar</t>
  </si>
  <si>
    <t>17010.8.1.14</t>
  </si>
  <si>
    <t>Ar condicionado 29.000</t>
  </si>
  <si>
    <t>STR
R$ 6.459,05</t>
  </si>
  <si>
    <t>AR CONDICIONADO
R$ 6.453,00</t>
  </si>
  <si>
    <t>AR CONDICIONADO
R$ 6.247,00</t>
  </si>
  <si>
    <t>Ar condicionado 18.000</t>
  </si>
  <si>
    <t>STR
R$2.944,05</t>
  </si>
  <si>
    <t>REFRIREDE
R$ 3.099,00</t>
  </si>
  <si>
    <t>WEB CONTINENTAL
R$ 3.429,00</t>
  </si>
  <si>
    <t>7 3 9 1 0 / 7 + COTAÇÃO
ADAPTADO</t>
  </si>
  <si>
    <r>
      <rPr>
        <b/>
        <sz val="8"/>
        <rFont val="Arial"/>
        <family val="2"/>
      </rPr>
      <t>PINTURA ESMALTE ACETINADO</t>
    </r>
    <r>
      <rPr>
        <sz val="8"/>
        <rFont val="Arial"/>
        <family val="2"/>
      </rPr>
      <t>, em esquadrias de madeira/ferro, duas demão - incluisve preparo</t>
    </r>
  </si>
  <si>
    <t>Brita 1</t>
  </si>
  <si>
    <t>12.004.000033.S
+cotação</t>
  </si>
  <si>
    <t>porta corta fogo dupla 190x210</t>
  </si>
  <si>
    <t>Aerotax
R$ 2.339,00</t>
  </si>
  <si>
    <t>PINTURAS CORREDORES</t>
  </si>
  <si>
    <t>PINTURAS GABINETES</t>
  </si>
  <si>
    <t>PINTURA EM CORREDORES E GABINETES - TORRE DO EDIFÍCIO RIO BRANCO</t>
  </si>
  <si>
    <t>8.2</t>
  </si>
  <si>
    <t>8.2.1</t>
  </si>
  <si>
    <t>8.3</t>
  </si>
  <si>
    <t>8.3.1</t>
  </si>
  <si>
    <t>8.3.2</t>
  </si>
  <si>
    <t>8.4</t>
  </si>
  <si>
    <t>8.4.1</t>
  </si>
  <si>
    <t>8.5</t>
  </si>
  <si>
    <t>8.5.1</t>
  </si>
  <si>
    <t>8.5.2</t>
  </si>
  <si>
    <t>9.1</t>
  </si>
  <si>
    <t xml:space="preserve">remoção de divisórias em gesso acartonado 
vãos para instalação de portas </t>
  </si>
  <si>
    <t>Is fem + masc + copa</t>
  </si>
  <si>
    <t>lixo + divisão da sala dos maotoristas + refazimento a parede onde serão instaladas as janelas</t>
  </si>
  <si>
    <t>PM60X210</t>
  </si>
  <si>
    <t>reinstalção de porta de aluminio</t>
  </si>
  <si>
    <t>PORTA MADEIRA COMPENSADA LISA PARA CERA OU VERNIZ 60X 210 X 3,5CM</t>
  </si>
  <si>
    <t>60x30 - BASCULANTE</t>
  </si>
  <si>
    <t>240x30 - BASCULANTE</t>
  </si>
  <si>
    <t xml:space="preserve">vidro fixo </t>
  </si>
  <si>
    <t>CAI XI LHO FI XO ALUMI NI O SERI E 2 5 COMPLETO 6 0 X 8 0CM</t>
  </si>
  <si>
    <t>VIDRO INCOLOR 4MM</t>
  </si>
  <si>
    <t>box sanitário feminino</t>
  </si>
  <si>
    <t>box sanitário masculino</t>
  </si>
  <si>
    <t>lado externo</t>
  </si>
  <si>
    <t>LIXO</t>
  </si>
  <si>
    <t>TAPUMES E PROTEÇÃO DOS PISOS</t>
  </si>
  <si>
    <r>
      <rPr>
        <b/>
        <sz val="8"/>
        <rFont val="Arial"/>
        <family val="2"/>
      </rPr>
      <t>CAÇAMBA</t>
    </r>
    <r>
      <rPr>
        <sz val="8"/>
        <rFont val="Arial"/>
        <family val="2"/>
      </rPr>
      <t xml:space="preserve"> PARA GESSO</t>
    </r>
  </si>
  <si>
    <t>CAÇAMBAS PARA ENTULHO</t>
  </si>
  <si>
    <t>2.6</t>
  </si>
  <si>
    <t>3.4.7</t>
  </si>
  <si>
    <t>6.4.7</t>
  </si>
  <si>
    <t>6.4.8</t>
  </si>
  <si>
    <t>6.8.</t>
  </si>
  <si>
    <t>6.10.2</t>
  </si>
  <si>
    <t>6.10.3</t>
  </si>
  <si>
    <t>6.10.4</t>
  </si>
  <si>
    <t>6.11</t>
  </si>
  <si>
    <t>6.11.1</t>
  </si>
  <si>
    <t>Dr Ney</t>
  </si>
  <si>
    <t>Dra Rosemarie</t>
  </si>
  <si>
    <t>Dra Thereza Gosdal</t>
  </si>
  <si>
    <t>PAPEL ONDULADO</t>
  </si>
  <si>
    <r>
      <t xml:space="preserve">FORNECIMENTO/INSTALACAO/DESINSTALAÇÃO  LONA PLASTICA PRETA E PAPEL ONDULADO, PARA PROTEÇÃO DE PISOS DE MADEIRA ESPESSURA 150 MICRAS - </t>
    </r>
    <r>
      <rPr>
        <sz val="8"/>
        <rFont val="Arial"/>
        <family val="2"/>
      </rPr>
      <t>a ser aplicada nos corredores do térreo e pavimento sobreloja de forma a proteger os pisos.</t>
    </r>
  </si>
  <si>
    <t>VIGAS DE AMARRAÇÃO E LAJE DE COBERTURA</t>
  </si>
  <si>
    <t>VERGAS DE CONCRETO SOBRE AS ESQUADRIAS</t>
  </si>
  <si>
    <t>8.5.3</t>
  </si>
  <si>
    <r>
      <t>Remoção e reinstalação das placas de comunicação visual e afins</t>
    </r>
    <r>
      <rPr>
        <sz val="8"/>
        <rFont val="Arial"/>
        <family val="2"/>
      </rPr>
      <t xml:space="preserve"> - para execução da pintura no hall dos elevadores</t>
    </r>
  </si>
  <si>
    <t>8.5.4</t>
  </si>
  <si>
    <t>8.5.5</t>
  </si>
  <si>
    <t>1º SUB SOLO</t>
  </si>
  <si>
    <t>2º SUBSOLO</t>
  </si>
  <si>
    <t>APLICAÇÃO DE AZULEJO E PINTURA DAS COPAS - TORRE DO EDIFÍCIO RIO BRANCO</t>
  </si>
  <si>
    <t>COPAS</t>
  </si>
  <si>
    <t>2º andar</t>
  </si>
  <si>
    <t>3º andar</t>
  </si>
  <si>
    <t>4º andar</t>
  </si>
  <si>
    <t>5º andar</t>
  </si>
  <si>
    <t>6º andar</t>
  </si>
  <si>
    <t>7º andar</t>
  </si>
  <si>
    <t>8º andar</t>
  </si>
  <si>
    <t>9º andar</t>
  </si>
  <si>
    <t>10º andar</t>
  </si>
  <si>
    <t>11º andar</t>
  </si>
  <si>
    <t>12º andar</t>
  </si>
  <si>
    <t>azulejo parede</t>
  </si>
  <si>
    <t>parede a azulejar</t>
  </si>
  <si>
    <t>paredes a pintar</t>
  </si>
  <si>
    <t>COPAS - edificio Rio Branco</t>
  </si>
  <si>
    <t>Remoção e reinstalação dos móveis e utensílios de cozinha - para execução das pinturas e azulejos na parede molhada</t>
  </si>
  <si>
    <t>PINTURA E APLICAÇÃO DE AZULEJO EM COPA - 2º ATÉ O 6º ANDAR</t>
  </si>
  <si>
    <t>PINTURA E APLICAÇÃO DE AZULEJO EM COPA - 7º ATÉ O 12º ANDAR</t>
  </si>
  <si>
    <t>10.1</t>
  </si>
  <si>
    <t>10.2</t>
  </si>
  <si>
    <t>10.3</t>
  </si>
  <si>
    <t>ADEQUAÇÃO DO PAINEL DE VIDRO - PLENÁRIO II</t>
  </si>
  <si>
    <r>
      <rPr>
        <b/>
        <sz val="8"/>
        <rFont val="Arial"/>
        <family val="2"/>
      </rPr>
      <t xml:space="preserve">Desmontagem e remoção de divisórias </t>
    </r>
    <r>
      <rPr>
        <sz val="8"/>
        <rFont val="Arial"/>
        <family val="2"/>
      </rPr>
      <t xml:space="preserve">em vidro temperado - inclusive perfis e acessórios de fixação  -  LOCAL INDICADO NO PROJETO, ONDE SERÁ INSTALADA PORTA DE VIDRO </t>
    </r>
  </si>
  <si>
    <t>08810.8.4.2</t>
  </si>
  <si>
    <t>COMPOSICAO</t>
  </si>
  <si>
    <t>VI DRACEIRO COM ENCARGOS COMPLEMENTARES</t>
  </si>
  <si>
    <t xml:space="preserve"> H </t>
  </si>
  <si>
    <t>CJ</t>
  </si>
  <si>
    <t xml:space="preserve">M2 </t>
  </si>
  <si>
    <t xml:space="preserve"> UN </t>
  </si>
  <si>
    <t xml:space="preserve">VI DRACEI RO </t>
  </si>
  <si>
    <t>JOGO DE FERRAGEM</t>
  </si>
  <si>
    <t>73838/1
ADAPTADA PARA LAMINADO</t>
  </si>
  <si>
    <t>Acessários para vidro temperado, puxador cromado</t>
  </si>
  <si>
    <t>72120+20241
ADAPTADO</t>
  </si>
  <si>
    <t xml:space="preserve"> VI DRO TEMPERADO INCOLOR E= 8MM (4+4), SEM COLOCAÇÃO </t>
  </si>
  <si>
    <t>Execução de corte/adaptação nos perfis de acabamento em madeira</t>
  </si>
  <si>
    <t>J OGO DE FERRAGENS CROMADAS P/ PORTA DE VI DRO TEMPERADO, UMA FOLHA COMPOSTA: DOBRADICA SUPERIOR E I NFERIOR, FECHADURA BICO DE PAPAGAIO E PERFIL DE REFORÇO PARA SUSTENTAÇÃO DA PORTA</t>
  </si>
  <si>
    <t xml:space="preserve">REQUADRO DO VÃO ONDE SERÃO INSTALADAS NOVAS ESQUADRIAS - EMBOÇO MASSA ÚNI CA, PARA RECEBI MENTO DE PI NTURA, EM ARGAMASSA TRAÇO 1 : 2 : 8 </t>
  </si>
  <si>
    <t>3.6.3</t>
  </si>
  <si>
    <t>6.5.3</t>
  </si>
  <si>
    <r>
      <rPr>
        <b/>
        <sz val="8"/>
        <rFont val="Arial"/>
        <family val="2"/>
      </rPr>
      <t xml:space="preserve">Bacia de louça branca com caixa acoplada </t>
    </r>
    <r>
      <rPr>
        <sz val="8"/>
        <rFont val="Arial"/>
        <family val="2"/>
      </rPr>
      <t xml:space="preserve"> - Referência: linha Ravena DECA ou similar linha ECO (botão duplo acionamento)  -</t>
    </r>
    <r>
      <rPr>
        <b/>
        <sz val="8"/>
        <rFont val="Arial"/>
        <family val="2"/>
      </rPr>
      <t xml:space="preserve"> REINSTALAÇÃO DA BACIA/ASSENTO NOVO</t>
    </r>
  </si>
  <si>
    <r>
      <rPr>
        <b/>
        <sz val="8"/>
        <rFont val="Arial"/>
        <family val="2"/>
      </rPr>
      <t>REQUADRO</t>
    </r>
    <r>
      <rPr>
        <sz val="8"/>
        <rFont val="Arial"/>
        <family val="2"/>
      </rPr>
      <t xml:space="preserve"> DO VÃO ONDE SERÃO INSTALADAS NOVAS ESQUADRIAS - EMBOÇO MASSA ÚNI CA, PARA RECEBI MENTO DE PI NTURA, EM ARGAMASSA TRAÇO 1 : 2 : 8 </t>
    </r>
  </si>
  <si>
    <r>
      <rPr>
        <b/>
        <sz val="8"/>
        <rFont val="Arial"/>
        <family val="2"/>
      </rPr>
      <t>Sóculo</t>
    </r>
    <r>
      <rPr>
        <sz val="8"/>
        <rFont val="Arial"/>
        <family val="2"/>
      </rPr>
      <t xml:space="preserve"> em alvenaria em tijolos cerâmicos furados - 9X14X19cm, 1 vez (espessura 14 cm), assenteado em argamassa traço 1:4 (cimento e areia média não peneirada) - preparo manual, junta 1 cm.
</t>
    </r>
  </si>
  <si>
    <r>
      <rPr>
        <b/>
        <sz val="8"/>
        <rFont val="Arial"/>
        <family val="2"/>
      </rPr>
      <t>Regularização</t>
    </r>
    <r>
      <rPr>
        <sz val="8"/>
        <rFont val="Arial"/>
        <family val="2"/>
      </rPr>
      <t xml:space="preserve"> de base para aplicação de piso cerâmico</t>
    </r>
  </si>
  <si>
    <r>
      <rPr>
        <b/>
        <sz val="8"/>
        <rFont val="Arial"/>
        <family val="2"/>
      </rPr>
      <t>REQUADRO</t>
    </r>
    <r>
      <rPr>
        <sz val="8"/>
        <rFont val="Arial"/>
        <family val="2"/>
      </rPr>
      <t xml:space="preserve"> DO VÃO ONDE SERÃO INSTALADAS NOVAS ESQUADRIAS  E DO VÃO DO ALÇAPÃO NO PISO - EMBOÇO MASSA ÚNI CA, PARA RECEBI MENTO DE PI NTURA, EM ARGAMASSA TRAÇO 1 : 2 : 8 </t>
    </r>
  </si>
  <si>
    <t>74071/1</t>
  </si>
  <si>
    <r>
      <t>PORTA DE ABRIR, EM ALUMINIO, CHAPA CORRUGADA COM GUARNICAO -</t>
    </r>
    <r>
      <rPr>
        <sz val="8"/>
        <rFont val="Arial"/>
        <family val="2"/>
      </rPr>
      <t xml:space="preserve"> aplicar no fechamento do alçapão - piso do pav. Térreo</t>
    </r>
  </si>
  <si>
    <t>ARGAMASSA TRAÇO 1 : 0 , 5 : 4 , 5 ( CI MENTO, CAL E AREI A MÉDI A) PARA ASSENTAMENTO DE ALVENARI A, PREPARO MANUAL . AF_ 0 8 / 2 0 1 4</t>
  </si>
  <si>
    <t xml:space="preserve"> PORTA ALUMI NI O ABRI R, PERFI L SERI E 2 5 , CHAPA CORRUGADA C/ GUARNI CAO 8 7 X 2 1 0CM </t>
  </si>
  <si>
    <t xml:space="preserve">PEDREI RO </t>
  </si>
  <si>
    <t xml:space="preserve"> SERRALHEIRO </t>
  </si>
  <si>
    <t xml:space="preserve"> SERVENTE </t>
  </si>
  <si>
    <t>3.4.8</t>
  </si>
  <si>
    <r>
      <rPr>
        <b/>
        <sz val="8"/>
        <rFont val="Arial"/>
        <family val="2"/>
      </rPr>
      <t>Conjunto de ferragens</t>
    </r>
    <r>
      <rPr>
        <sz val="8"/>
        <rFont val="Arial"/>
        <family val="2"/>
      </rPr>
      <t xml:space="preserve"> contendo fechadura com cilindro para Porta externa/bwc/bico de papagaio - maçaneta tipo alavanca com acabamento padrão médio e roseta em latão cromado</t>
    </r>
  </si>
  <si>
    <r>
      <rPr>
        <b/>
        <sz val="8"/>
        <rFont val="Arial"/>
        <family val="2"/>
      </rPr>
      <t xml:space="preserve">Instalação </t>
    </r>
    <r>
      <rPr>
        <sz val="8"/>
        <rFont val="Arial"/>
        <family val="2"/>
      </rPr>
      <t>de  placas de identificação - somente mão de obra para fixação - material fornecido pelo TRT</t>
    </r>
  </si>
  <si>
    <r>
      <rPr>
        <b/>
        <sz val="8"/>
        <rFont val="Arial"/>
        <family val="2"/>
      </rPr>
      <t>Forma para estruturas de concreto</t>
    </r>
    <r>
      <rPr>
        <sz val="8"/>
        <rFont val="Arial"/>
        <family val="2"/>
      </rPr>
      <t xml:space="preserve"> (pilar, viga e laje) em chapa de madeira compensada resinada, de  1,10 X 2,20, espessura  = 12 mm (fabricação, montagem e desmontagem)</t>
    </r>
  </si>
  <si>
    <r>
      <rPr>
        <b/>
        <sz val="8"/>
        <rFont val="Arial"/>
        <family val="2"/>
      </rPr>
      <t>Concreto</t>
    </r>
    <r>
      <rPr>
        <sz val="8"/>
        <rFont val="Arial"/>
        <family val="2"/>
      </rPr>
      <t xml:space="preserve"> FCK=25 MPA, inclusive colocação, espalhamento e acabamento.</t>
    </r>
  </si>
  <si>
    <r>
      <rPr>
        <b/>
        <sz val="8"/>
        <rFont val="Arial"/>
        <family val="2"/>
      </rPr>
      <t>Armação</t>
    </r>
    <r>
      <rPr>
        <sz val="8"/>
        <rFont val="Arial"/>
        <family val="2"/>
      </rPr>
      <t xml:space="preserve"> (fornecimento, corte, dobra e colocação) aço CA-50, diâmetro 6,3 (1/4 ) à 12,5mm (1/2 )</t>
    </r>
  </si>
  <si>
    <r>
      <rPr>
        <b/>
        <sz val="8"/>
        <rFont val="Arial"/>
        <family val="2"/>
      </rPr>
      <t>Parede de gesso acartonado simples intern</t>
    </r>
    <r>
      <rPr>
        <sz val="8"/>
        <rFont val="Arial"/>
        <family val="2"/>
      </rPr>
      <t>a, espessura final 100 mm, pé-direito conforme projeto arquitetônico - instalado conforme recomendações do fabricante</t>
    </r>
  </si>
  <si>
    <r>
      <rPr>
        <b/>
        <sz val="8"/>
        <rFont val="Arial"/>
        <family val="2"/>
      </rPr>
      <t>Parede de gesso acartonado para parede interna em local úmido</t>
    </r>
    <r>
      <rPr>
        <sz val="8"/>
        <rFont val="Arial"/>
        <family val="2"/>
      </rPr>
      <t>, VERDE,  espessura final 125 mm, pé-direito conforme projeto arquitetonico - instalado conforme orinetações do fabricante.</t>
    </r>
  </si>
  <si>
    <r>
      <rPr>
        <b/>
        <sz val="8"/>
        <rFont val="Arial"/>
        <family val="2"/>
      </rPr>
      <t>REINSTALAÇÃO</t>
    </r>
    <r>
      <rPr>
        <sz val="8"/>
        <rFont val="Arial"/>
        <family val="2"/>
      </rPr>
      <t xml:space="preserve"> DE CUBA DE LOUÇA BRANCA - reutilização do material retirado </t>
    </r>
  </si>
  <si>
    <r>
      <rPr>
        <b/>
        <sz val="8"/>
        <rFont val="Arial"/>
        <family val="2"/>
      </rPr>
      <t xml:space="preserve">ADAPTAÇÃO E REINSTALAÇÃO DE TAMPO EM GRANITO </t>
    </r>
    <r>
      <rPr>
        <sz val="8"/>
        <rFont val="Arial"/>
        <family val="2"/>
      </rPr>
      <t xml:space="preserve">- com reutilização do material retirado, execução de corte, rodapia e saia </t>
    </r>
  </si>
  <si>
    <r>
      <rPr>
        <b/>
        <sz val="8"/>
        <rFont val="Arial"/>
        <family val="2"/>
      </rPr>
      <t>CONDICIONADOR</t>
    </r>
    <r>
      <rPr>
        <sz val="8"/>
        <rFont val="Arial"/>
        <family val="2"/>
      </rPr>
      <t xml:space="preserve"> de ar tipo Split, quente/frio, SISTEMA INVERTER - 12.000 Btu/h - instalação da rede frigorígena completa, inclusive carga de gás.</t>
    </r>
  </si>
  <si>
    <r>
      <rPr>
        <b/>
        <sz val="8"/>
        <rFont val="Arial"/>
        <family val="2"/>
      </rPr>
      <t>CONDICIONADOR</t>
    </r>
    <r>
      <rPr>
        <sz val="8"/>
        <rFont val="Arial"/>
        <family val="2"/>
      </rPr>
      <t xml:space="preserve"> de ar tipo Split, quente/frio, SISTEMA INVERTER - 18.000 Btu/h - instalação da rede frigorígena completa, inclusive carga de gás.</t>
    </r>
  </si>
  <si>
    <r>
      <rPr>
        <b/>
        <sz val="8"/>
        <rFont val="Arial"/>
        <family val="2"/>
      </rPr>
      <t>CONDICIONADOR</t>
    </r>
    <r>
      <rPr>
        <sz val="8"/>
        <rFont val="Arial"/>
        <family val="2"/>
      </rPr>
      <t xml:space="preserve"> de ar tipo Split, 12.000 Btu/h -SISTEMA INVERTER -  referência: FUJITSU ou similar  - quente/frio </t>
    </r>
  </si>
  <si>
    <r>
      <rPr>
        <b/>
        <sz val="8"/>
        <rFont val="Arial"/>
        <family val="2"/>
      </rPr>
      <t xml:space="preserve">CONDICIONADOR </t>
    </r>
    <r>
      <rPr>
        <sz val="8"/>
        <rFont val="Arial"/>
        <family val="2"/>
      </rPr>
      <t xml:space="preserve">de ar tipo Split, 18.000 Btu/h -SISTEMA INVERTER -  referência: FUJITSU ou similar  - quente/frio </t>
    </r>
  </si>
  <si>
    <r>
      <rPr>
        <b/>
        <sz val="8"/>
        <rFont val="Arial"/>
        <family val="2"/>
      </rPr>
      <t>Instalação de  placas de identificação</t>
    </r>
    <r>
      <rPr>
        <sz val="8"/>
        <rFont val="Arial"/>
        <family val="2"/>
      </rPr>
      <t xml:space="preserve"> - somente mão de obra para fixação - material fornecido pelo TRT</t>
    </r>
  </si>
  <si>
    <r>
      <rPr>
        <b/>
        <sz val="8"/>
        <rFont val="Arial"/>
        <family val="2"/>
      </rPr>
      <t>Conjunto de ferragens contendo fechadura</t>
    </r>
    <r>
      <rPr>
        <sz val="8"/>
        <rFont val="Arial"/>
        <family val="2"/>
      </rPr>
      <t xml:space="preserve"> com cilindro para Porta externa/bwc/bico de papagaio - maçaneta tipo alavanca com acabamento padrão médio e roseta em latão cromado</t>
    </r>
  </si>
  <si>
    <r>
      <rPr>
        <b/>
        <sz val="8"/>
        <rFont val="Arial"/>
        <family val="2"/>
      </rPr>
      <t>RECONSTRUÇÃO DO FORRO EM PLACAS DE GESSO</t>
    </r>
    <r>
      <rPr>
        <sz val="8"/>
        <rFont val="Arial"/>
        <family val="2"/>
      </rPr>
      <t xml:space="preserve">  - removido para acesso na execução das instalações sanitárias</t>
    </r>
  </si>
  <si>
    <r>
      <rPr>
        <b/>
        <sz val="8"/>
        <rFont val="Arial"/>
        <family val="2"/>
      </rPr>
      <t>Balcão da copa</t>
    </r>
    <r>
      <rPr>
        <sz val="8"/>
        <rFont val="Arial"/>
        <family val="2"/>
      </rPr>
      <t xml:space="preserve">  - 2,00 x 0,45 m em  tampo de granito polido andorinha  para balcão de atendimento, e=30,00 mm  - acabamento meio boleado .</t>
    </r>
  </si>
  <si>
    <r>
      <rPr>
        <b/>
        <sz val="8"/>
        <rFont val="Arial"/>
        <family val="2"/>
      </rPr>
      <t>CONDICIONADOR</t>
    </r>
    <r>
      <rPr>
        <sz val="8"/>
        <rFont val="Arial"/>
        <family val="2"/>
      </rPr>
      <t xml:space="preserve"> de ar tipo Split, quente/frio, SISTEMA INVERTER - 36.000 Btu/h - instalação da rede frigorígena completa, inclusive carga de gás.</t>
    </r>
  </si>
  <si>
    <r>
      <rPr>
        <b/>
        <sz val="8"/>
        <rFont val="Arial"/>
        <family val="2"/>
      </rPr>
      <t>CONDICIONADOR</t>
    </r>
    <r>
      <rPr>
        <sz val="8"/>
        <rFont val="Arial"/>
        <family val="2"/>
      </rPr>
      <t xml:space="preserve"> de ar tipo Split, 18.000 Btu/h -SISTEMA INVERTER -  referência: FUJITSU ou similar  - quente/frio </t>
    </r>
  </si>
  <si>
    <r>
      <rPr>
        <b/>
        <sz val="8"/>
        <rFont val="Arial"/>
        <family val="2"/>
      </rPr>
      <t xml:space="preserve">Alvenaria em tijolos cerâmicos furados </t>
    </r>
    <r>
      <rPr>
        <sz val="8"/>
        <rFont val="Arial"/>
        <family val="2"/>
      </rPr>
      <t xml:space="preserve">- 9X14X19cm, 1 vez (espessura 14 cm), assenteado em argamassa traço 1:4 (cimento e areia média não peneirada) - preparo manual, junta 1 cm.
</t>
    </r>
  </si>
  <si>
    <r>
      <rPr>
        <b/>
        <sz val="8"/>
        <rFont val="Arial"/>
        <family val="2"/>
      </rPr>
      <t>CHAPISCO</t>
    </r>
    <r>
      <rPr>
        <sz val="8"/>
        <rFont val="Arial"/>
        <family val="2"/>
      </rPr>
      <t xml:space="preserve"> APLICADO TANTO EM PILARES E VIGAS DE CONCRETO COMO EM ALVENARIA DE FACHADA COM PRESENÇA DE VÃOS</t>
    </r>
  </si>
  <si>
    <r>
      <rPr>
        <b/>
        <sz val="8"/>
        <rFont val="Arial"/>
        <family val="2"/>
      </rPr>
      <t>EMBOÇO</t>
    </r>
    <r>
      <rPr>
        <sz val="8"/>
        <rFont val="Arial"/>
        <family val="2"/>
      </rPr>
      <t xml:space="preserve"> MASSA ÚNI CA, PARA RECEBI MENTO DE PI NTURA, EM ARGAMASSA TRAÇO 1 : 2 : 8 </t>
    </r>
  </si>
  <si>
    <r>
      <rPr>
        <b/>
        <sz val="8"/>
        <rFont val="Arial"/>
        <family val="2"/>
      </rPr>
      <t>REQUADRO</t>
    </r>
    <r>
      <rPr>
        <sz val="8"/>
        <rFont val="Arial"/>
        <family val="2"/>
      </rPr>
      <t xml:space="preserve"> DO VÃO DA PORTA REMOVIDA - INCÊNDIO DO PLENÁRIO - EMBOÇO MASSA ÚNI CA, PARA RECEBI MENTO DE PI NTURA, EM ARGAMASSA TRAÇO 1 : 2 : 8 </t>
    </r>
  </si>
  <si>
    <r>
      <rPr>
        <b/>
        <sz val="8"/>
        <rFont val="Arial"/>
        <family val="2"/>
      </rPr>
      <t>PORTA DE VIDRO LAMINADO</t>
    </r>
    <r>
      <rPr>
        <sz val="8"/>
        <rFont val="Arial"/>
        <family val="2"/>
      </rPr>
      <t xml:space="preserve"> 8MM INCOLOR, UMA FOLHA, 0,90X0,80M, INCLUSIVE ACESSORIOS COMO PUXADOR CROMADO, DOBRADIÇAS E FECHADURA TIPO BICO DE PAPAGAIO - NO MESMO PADRÃO DO PAINEL EXISTENTE - AFERIR MEDIDAS NO LOCAL</t>
    </r>
  </si>
  <si>
    <r>
      <rPr>
        <b/>
        <sz val="8"/>
        <rFont val="Arial"/>
        <family val="2"/>
      </rPr>
      <t>PAINEL EM VIDRO FIXO LAMINADO INCOLOR</t>
    </r>
    <r>
      <rPr>
        <sz val="8"/>
        <rFont val="Arial"/>
        <family val="2"/>
      </rPr>
      <t>, ESPESSURA 8MM (4+4), FORNECIMENTO E INSTALACAO, INCLUSIVE ACESSÓRIOS - AFERIR MEDIDAS NO LOCAL</t>
    </r>
  </si>
  <si>
    <t>11.1</t>
  </si>
  <si>
    <t>11.2</t>
  </si>
  <si>
    <t>11.3</t>
  </si>
  <si>
    <t>11.4</t>
  </si>
  <si>
    <t>SINAPI
ferragens: R$ 395,76
portas R$2.605,15
SINAPI - INSUMO PORTA 90X210 - 612,26 + TCPO - BARRA ANTIPÂNICO PORTA DUPLA 1.200,29 = TOTAL: 2.424,81</t>
  </si>
  <si>
    <t xml:space="preserve">TELHADI STA </t>
  </si>
  <si>
    <t xml:space="preserve">CALHA CHAPA GALVANI ZADA NUM 2 4 L = 5 0CM </t>
  </si>
  <si>
    <t xml:space="preserve">M </t>
  </si>
  <si>
    <t>PREGO POL I DO COM CABECA 1 8 X 2 7</t>
  </si>
  <si>
    <t xml:space="preserve">REBI TE DE ALUMI NI O VAZADO DE REPUXO, 3 , 2 X 8 MM ( 1KG = 1 0 2 5 UNI DADES) </t>
  </si>
  <si>
    <t>SOLDA 5 0 / 5 0</t>
  </si>
  <si>
    <r>
      <t>CALHA EM CHAPA DE ACO GALVANI ZADO NUMERO 2 4 , DESENVOLVI MENTO DE 50CM -</t>
    </r>
    <r>
      <rPr>
        <sz val="8"/>
        <rFont val="Arial"/>
        <family val="2"/>
      </rPr>
      <t xml:space="preserve"> com acabamento em pintura esmalte sintético na cor da parede - envelopamento das redes frigorígenas</t>
    </r>
  </si>
  <si>
    <t>72105 + 74065/2</t>
  </si>
  <si>
    <t>50% do valor do granito</t>
  </si>
  <si>
    <r>
      <rPr>
        <b/>
        <sz val="8"/>
        <rFont val="Arial"/>
        <family val="2"/>
      </rPr>
      <t>ADAPTAÇÃO E REINSTALAÇÃO DE TAMPO EM GRANITO</t>
    </r>
    <r>
      <rPr>
        <sz val="8"/>
        <rFont val="Arial"/>
        <family val="2"/>
      </rPr>
      <t xml:space="preserve"> - com reutilização do material retirado, execução de corte, rodapia e saia </t>
    </r>
  </si>
  <si>
    <r>
      <rPr>
        <b/>
        <sz val="8"/>
        <rFont val="Arial"/>
        <family val="2"/>
      </rPr>
      <t>Saboneteira de plástico para sabonete líquido</t>
    </r>
    <r>
      <rPr>
        <sz val="8"/>
        <rFont val="Arial"/>
        <family val="2"/>
      </rPr>
      <t xml:space="preserve"> - referência:  Columbus ou similar - 02 em cada IS coletiva + 01 na IS PNE</t>
    </r>
  </si>
  <si>
    <r>
      <rPr>
        <b/>
        <sz val="8"/>
        <rFont val="Arial"/>
        <family val="2"/>
      </rPr>
      <t>Dispenser para papel toalha</t>
    </r>
    <r>
      <rPr>
        <sz val="8"/>
        <rFont val="Arial"/>
        <family val="2"/>
      </rPr>
      <t>, linha standard - Fornecimento e instalação  - Referência Técnica: Columbus ou similar - 02 em cada IS coletivo + 01 na IS PNE  - 01 cozinha  + 01 no apoio cozinha</t>
    </r>
  </si>
  <si>
    <r>
      <rPr>
        <b/>
        <sz val="8"/>
        <rFont val="Arial"/>
        <family val="2"/>
      </rPr>
      <t xml:space="preserve">Toalheiro tipo gancho em metal cromado de parafusar </t>
    </r>
    <r>
      <rPr>
        <sz val="8"/>
        <rFont val="Arial"/>
        <family val="2"/>
      </rPr>
      <t>- referêcnia: linha Deca Flex 2060 ou similar - instalados junto a cada bacia sanitária nos sanitários  + 02 junto a cada bancada das IS coletivas</t>
    </r>
  </si>
  <si>
    <r>
      <rPr>
        <b/>
        <sz val="8"/>
        <rFont val="Arial"/>
        <family val="2"/>
      </rPr>
      <t xml:space="preserve">PM 90x210 </t>
    </r>
    <r>
      <rPr>
        <sz val="8"/>
        <rFont val="Arial"/>
        <family val="2"/>
      </rPr>
      <t xml:space="preserve">- Porta de madeira tipo compensada lisa para pintura, com fundo primer (Referência Camilotti ou similar), 90X210X3, 5 cm, completa inclusive batentes, vistas, dobradiça e fechadura (Referência: Papaiz ou similar) - conforme memorial descritivo </t>
    </r>
  </si>
  <si>
    <r>
      <rPr>
        <b/>
        <sz val="8"/>
        <rFont val="Arial"/>
        <family val="2"/>
      </rPr>
      <t>Regularização</t>
    </r>
    <r>
      <rPr>
        <sz val="8"/>
        <rFont val="Arial"/>
        <family val="2"/>
      </rPr>
      <t xml:space="preserve"> de base para aplicação de revestimento cerâmico/pintura</t>
    </r>
  </si>
  <si>
    <r>
      <rPr>
        <b/>
        <sz val="8"/>
        <rFont val="Arial"/>
        <family val="2"/>
      </rPr>
      <t>REGISTRO GAVETA 3/4"</t>
    </r>
    <r>
      <rPr>
        <sz val="8"/>
        <rFont val="Arial"/>
        <family val="2"/>
      </rPr>
      <t xml:space="preserve">  - com canopla e acabamento simples - fornecimento e instalação - sanitários e consultório</t>
    </r>
  </si>
  <si>
    <r>
      <rPr>
        <b/>
        <sz val="8"/>
        <rFont val="Arial"/>
        <family val="2"/>
      </rPr>
      <t xml:space="preserve">Papeleira em metal cromado de parafusar </t>
    </r>
    <r>
      <rPr>
        <sz val="8"/>
        <rFont val="Arial"/>
        <family val="2"/>
      </rPr>
      <t>- referência: linha Deca Flex 2020 ou similar, que apresente características visuais e materiais de fabricação idênticos - instalado junto a cada bacia sanitária</t>
    </r>
  </si>
  <si>
    <r>
      <rPr>
        <b/>
        <sz val="8"/>
        <rFont val="Arial"/>
        <family val="2"/>
      </rPr>
      <t>Saboneteira de plástico para sabonete líquido</t>
    </r>
    <r>
      <rPr>
        <sz val="8"/>
        <rFont val="Arial"/>
        <family val="2"/>
      </rPr>
      <t xml:space="preserve"> - referência:  Columbus ou similar - 02 em cada IS coletiva + 01 na IS PNE + 01 no consultório</t>
    </r>
  </si>
  <si>
    <r>
      <rPr>
        <b/>
        <sz val="8"/>
        <rFont val="Arial"/>
        <family val="2"/>
      </rPr>
      <t>Dispenser para papel toalha</t>
    </r>
    <r>
      <rPr>
        <sz val="8"/>
        <rFont val="Arial"/>
        <family val="2"/>
      </rPr>
      <t>, linha standard - Fornecimento e instalação  - Referência Técnica: Columbus ou similar - 02 em cada IS coletiva + 01 na IS PNE + 01 no consultório</t>
    </r>
  </si>
  <si>
    <r>
      <rPr>
        <b/>
        <sz val="8"/>
        <rFont val="Arial"/>
        <family val="2"/>
      </rPr>
      <t xml:space="preserve">Toalheiro tipo gancho em metal cromado de parafusar </t>
    </r>
    <r>
      <rPr>
        <sz val="8"/>
        <rFont val="Arial"/>
        <family val="2"/>
      </rPr>
      <t>- referêcnia: linha Deca Flex 2060 ou similar - instalados um junto a cada bacia + 02 junto a cada bancada das IS coletivas</t>
    </r>
  </si>
  <si>
    <r>
      <rPr>
        <b/>
        <sz val="8"/>
        <rFont val="Arial"/>
        <family val="2"/>
      </rPr>
      <t xml:space="preserve">JA 0,60 X 0,30m - </t>
    </r>
    <r>
      <rPr>
        <sz val="8"/>
        <rFont val="Arial"/>
        <family val="2"/>
      </rPr>
      <t>Janela  basculantes /maxim-ar-  com estrutura contramaerco de alumínio, espessura inclusive vidro fantasia 4mm - 03 unidades</t>
    </r>
  </si>
  <si>
    <r>
      <rPr>
        <b/>
        <sz val="8"/>
        <rFont val="Arial"/>
        <family val="2"/>
      </rPr>
      <t xml:space="preserve">JA 2,40 X 0,30m - </t>
    </r>
    <r>
      <rPr>
        <sz val="8"/>
        <rFont val="Arial"/>
        <family val="2"/>
      </rPr>
      <t>Janela  basculante/maxim-ar -  com estrutura contramaerco de alumínio, inclusive vidro fantasia 4mm - 01 unidade</t>
    </r>
  </si>
  <si>
    <t>VIDRO 4MM</t>
  </si>
  <si>
    <r>
      <rPr>
        <b/>
        <sz val="8"/>
        <rFont val="Arial"/>
        <family val="2"/>
      </rPr>
      <t>Caixilho em aluminio</t>
    </r>
    <r>
      <rPr>
        <sz val="8"/>
        <rFont val="Arial"/>
        <family val="2"/>
      </rPr>
      <t xml:space="preserve"> para vidro fixo - inclusive vidro 4mm liso incolor - painel vidro fixo entre salas dos motoristas</t>
    </r>
  </si>
  <si>
    <r>
      <rPr>
        <b/>
        <sz val="8"/>
        <rFont val="Arial"/>
        <family val="2"/>
      </rPr>
      <t xml:space="preserve">JA 0,50 X 1,10m - </t>
    </r>
    <r>
      <rPr>
        <sz val="8"/>
        <rFont val="Arial"/>
        <family val="2"/>
      </rPr>
      <t>Janela de correr com estrutura de alumínio, inclusive vidro incolor 4mm - 12 unidades</t>
    </r>
  </si>
  <si>
    <t>74234/1</t>
  </si>
  <si>
    <t xml:space="preserve">INSUMO </t>
  </si>
  <si>
    <t xml:space="preserve">FITA VEDA ROSCA EM ROLOS 18MMX10M </t>
  </si>
  <si>
    <t>PARAFUSO NIQUELADO P/ FIXAR PECA SANITARIA - INCL PORCA CEGA, ARRUELA E BUCHA DE NYLON S-8</t>
  </si>
  <si>
    <t>REGISTRO PRESSAO 1/2" REF 1416 - C/ CANOPLA ACAB CROMADO SIMPLES</t>
  </si>
  <si>
    <t xml:space="preserve"> MICTORIO SIFONADO LOUCA BRANCA SEM COMPLEMENTOS</t>
  </si>
  <si>
    <t>ENGATE OU RABICHO FLEXIVEL EM METAL CROMADO 1/2" x 30CM</t>
  </si>
  <si>
    <t>SERVENTE</t>
  </si>
  <si>
    <t>ENCANADOR OU BOMBEIRO HIDRÁULICO</t>
  </si>
  <si>
    <r>
      <rPr>
        <b/>
        <sz val="8"/>
        <rFont val="Arial"/>
        <family val="2"/>
      </rPr>
      <t>MICTORIO SIFONADO DE LOUCA BRANCA COM PERTENCES, COM REGISTRO DE</t>
    </r>
    <r>
      <rPr>
        <sz val="8"/>
        <rFont val="Arial"/>
        <family val="2"/>
      </rPr>
      <t>para torneira e parafusos cromados para fixação  PRESSAO 1/2" COM CANOPLA  PARA FIXACAO - FORNECIMENTO E INSTALACAOCROMADA ACABAMENTO SIMPLES E CONJUNTO PARA FIXAÇÃO - FORNECIMENTO E INSTALAÇÃO</t>
    </r>
  </si>
  <si>
    <r>
      <rPr>
        <b/>
        <sz val="8"/>
        <rFont val="Arial"/>
        <family val="2"/>
      </rPr>
      <t xml:space="preserve">Toalheiro tipo gancho em metal cromado de parafusar </t>
    </r>
    <r>
      <rPr>
        <sz val="8"/>
        <rFont val="Arial"/>
        <family val="2"/>
      </rPr>
      <t>- referêcnia: linha Deca Flex 2060 ou similar - um junto a cada bacia + dois em cada vestiário</t>
    </r>
  </si>
  <si>
    <r>
      <rPr>
        <b/>
        <sz val="8"/>
        <rFont val="Arial"/>
        <family val="2"/>
      </rPr>
      <t>Torneira de pressão cromada para lavatório com fechamento automático</t>
    </r>
    <r>
      <rPr>
        <sz val="8"/>
        <rFont val="Arial"/>
        <family val="2"/>
      </rPr>
      <t xml:space="preserve"> - Referência: Torneira Lavatório uso público mesa Pressmatic Alfa CR 446106 - Docol ou similar - fechamaneto automático ou similar</t>
    </r>
  </si>
  <si>
    <t>Torneira de pressão cromada para lavatório com fechamento automático - Referência: Torneira Lavatório uso público mesa Pressmatic Alfa CR 446106 - Docol ou similar - fechamaneto automático ou similar</t>
  </si>
  <si>
    <t>Butijão 45kg - GLP - inclusive carga</t>
  </si>
  <si>
    <r>
      <t xml:space="preserve">Kit para instalação de gás P 45 - 02 butijões 45kg com carga, </t>
    </r>
    <r>
      <rPr>
        <sz val="8"/>
        <rFont val="Arial"/>
        <family val="2"/>
      </rPr>
      <t>01 regulador, 02 válvulas de retenção e 02 chicotes para P-45 universal com 1 metro - inssive conexões</t>
    </r>
  </si>
  <si>
    <r>
      <rPr>
        <b/>
        <sz val="8"/>
        <rFont val="Arial"/>
        <family val="2"/>
      </rPr>
      <t>PM 180x210</t>
    </r>
    <r>
      <rPr>
        <sz val="8"/>
        <rFont val="Arial"/>
        <family val="2"/>
      </rPr>
      <t xml:space="preserve"> - correr - Porta de madeira compensada lisa para pintura, com fundo primer (Referência: Camilotti ou similar), 02 unidades de 90X210X3, 5 cm, completa inclusive batente, vista, trilhos e fechadura tipo bico de papagaio 45mm, dois puxadores verticais 40cm - conforme memorial descritivo.</t>
    </r>
  </si>
  <si>
    <r>
      <rPr>
        <b/>
        <sz val="8"/>
        <rFont val="Arial"/>
        <family val="2"/>
      </rPr>
      <t xml:space="preserve">Revestimento em azulejo </t>
    </r>
    <r>
      <rPr>
        <sz val="8"/>
        <rFont val="Arial"/>
        <family val="2"/>
      </rPr>
      <t>33 x 45 cm - referência técnica: ELIANE ou similar, linha Forma cor branco brilhante - fixado com argamassa colante e rejuntamento com rejunte flexível branco antifungo - APLICADO NA PAREDE MOLHADA (PIA)</t>
    </r>
  </si>
  <si>
    <r>
      <rPr>
        <b/>
        <sz val="8"/>
        <rFont val="Arial"/>
        <family val="2"/>
      </rPr>
      <t>PINTURA LATEX ACRILICA</t>
    </r>
    <r>
      <rPr>
        <sz val="8"/>
        <rFont val="Arial"/>
        <family val="2"/>
      </rPr>
      <t xml:space="preserve"> ambientes externos e internos - 2 demão -</t>
    </r>
    <r>
      <rPr>
        <b/>
        <sz val="8"/>
        <rFont val="Arial"/>
        <family val="2"/>
      </rPr>
      <t xml:space="preserve"> PAREDES - APLICADA NAS DEMAIS PAREDES (NÃO AZULEJADAS)</t>
    </r>
  </si>
  <si>
    <t>Agil Gás</t>
  </si>
  <si>
    <t xml:space="preserve">SUBSTITUIÇÃO DE PORTAS - PLENÁRIO, GABINETE VICE PRESIDÊNCIA  E ENFERMAGEM </t>
  </si>
  <si>
    <r>
      <t>PORTA DE ABRIR, EM ALUMINIO, CHAPA CORRUGADA COM GUARNICAO -</t>
    </r>
    <r>
      <rPr>
        <sz val="8"/>
        <rFont val="Arial"/>
        <family val="2"/>
      </rPr>
      <t xml:space="preserve"> SUBSTITUIÇÃO DA PORTA DA ENFERMAGEM</t>
    </r>
  </si>
  <si>
    <t>8.3.3</t>
  </si>
  <si>
    <t>Cotação</t>
  </si>
  <si>
    <t>Toldo Castelo      41-3666-6311</t>
  </si>
  <si>
    <t>Cobertura com telha de policarbonato alveolar,  e = 6 mm, 2,20 X 1,0 m translucido e  Metalões industriais galvanizados 30x50mm chapa 1,25mm com pintura da estrutura em esmalte sintético cor a escolher;  acessórios em alumínio; instalado com acessórios de fixação e vedação - INSTALAR NA PORTA DA ENFERMAGEM</t>
  </si>
  <si>
    <t>8.3.4</t>
  </si>
  <si>
    <t>cotação
Laminade</t>
  </si>
  <si>
    <t xml:space="preserve">PISO VINILICO EM PLACAS DE *30 X 30* CM, E = 2 MM (SEM COLOCACAO) </t>
  </si>
  <si>
    <t xml:space="preserve">COLA CONTATO P/ CHAPA VINÍLICA/BORRACHA </t>
  </si>
  <si>
    <t xml:space="preserve">PEDREIRO </t>
  </si>
  <si>
    <t>CHAPA DE MADEIRA COMPENSADA NAVAL (COM COLA FENOLICA), E = 20 MM, DE *1,60 X 2,20* M</t>
  </si>
  <si>
    <t>PISO VINILICO SEMIFLEXIVEL PADRAO LISO, ESPESSURA 2MM, FIXADO COM COLA - aplicado sobre chapa de compensado naval 20mm</t>
  </si>
  <si>
    <r>
      <t xml:space="preserve">REINSTALAÇÃO DE </t>
    </r>
    <r>
      <rPr>
        <b/>
        <sz val="8"/>
        <rFont val="Arial"/>
        <family val="2"/>
      </rPr>
      <t xml:space="preserve">MICTORIO SIFONADO DE LOUCA BRANCA - NOVO </t>
    </r>
    <r>
      <rPr>
        <sz val="8"/>
        <rFont val="Arial"/>
        <family val="2"/>
      </rPr>
      <t>CONJUNTO PARA FIXAÇÃO - FORNECIMENTO E INSTALAÇÃO</t>
    </r>
  </si>
  <si>
    <t>TRIBUNAL REGIONAL DO TRABALHO DA 9ª REGIÃO</t>
  </si>
  <si>
    <t>SECRETARIA DE ENGENHARIA E ARQUITETURA</t>
  </si>
  <si>
    <t>REFORMAS ED RIO BRANCO 2014</t>
  </si>
  <si>
    <t>BDI</t>
  </si>
  <si>
    <t>Alameda Dr. Carlos de Carvalho, 528, Centro</t>
  </si>
  <si>
    <t>BDI EQUIP.</t>
  </si>
  <si>
    <t>Tabela</t>
  </si>
  <si>
    <t>Código</t>
  </si>
  <si>
    <t>Item</t>
  </si>
  <si>
    <t>Descrição do serviço</t>
  </si>
  <si>
    <t>Unid.</t>
  </si>
  <si>
    <t>Coef.</t>
  </si>
  <si>
    <t>Custo Insumo</t>
  </si>
  <si>
    <t>Quant.  Estimadas</t>
  </si>
  <si>
    <t>Material</t>
  </si>
  <si>
    <t>Mão-de-obra</t>
  </si>
  <si>
    <t>Total</t>
  </si>
  <si>
    <t>INSTALAÇÕES ELÉTRICAS</t>
  </si>
  <si>
    <t>INFRAESTRUTURA</t>
  </si>
  <si>
    <t>Caixas de passagem e eletrodutos</t>
  </si>
  <si>
    <t>Caixa de passagem plástica 4x2" para embutir em gesso acartonado (drywall)</t>
  </si>
  <si>
    <t>E57</t>
  </si>
  <si>
    <t>Auxiliar de eletricista</t>
  </si>
  <si>
    <t>Condulete em liga de alumínio fundido Ø 3/4"</t>
  </si>
  <si>
    <t>16135.8.1.37</t>
  </si>
  <si>
    <t>Condulete em liga de alumínio fundido tipo Ø 2" </t>
  </si>
  <si>
    <t xml:space="preserve">TCPO </t>
  </si>
  <si>
    <t>16135.8.1.14</t>
  </si>
  <si>
    <t>Eletroduto PVC rígido roscável Ø 2"</t>
  </si>
  <si>
    <t>Eletroduto de PVC flexível corrugado Ø 3/4"</t>
  </si>
  <si>
    <t>Eletroduto de PVC rígido roscável,inclusive conexões Ø 25 mm 3/4"</t>
  </si>
  <si>
    <t>16132.8.2.2</t>
  </si>
  <si>
    <t>Eletroduto de PVC rígido roscável Ø 25 mm 3/4"</t>
  </si>
  <si>
    <t>Eletroduto de PVC rígido roscável,inclusive conexões ø 32 mm (1")</t>
  </si>
  <si>
    <t>16132.8.2.3</t>
  </si>
  <si>
    <t>Eletroduto de PVC rígido roscável Ø32 mm (1")</t>
  </si>
  <si>
    <t>Eletroduto de PVC rígido roscável,inclusive conexões Ø 60 mm 2" </t>
  </si>
  <si>
    <t>Perfilado #38x38</t>
  </si>
  <si>
    <t>E38</t>
  </si>
  <si>
    <t>Perfilado #38x38, pré-zincado à fogo, chapa 18 AWG com tampa de pressão chapa 22 AWG. Fixação por tirantes a cada 2,0 m</t>
  </si>
  <si>
    <t>Junta reta interna #38x38</t>
  </si>
  <si>
    <t>Suporte curto para perfilado</t>
  </si>
  <si>
    <t>Peça ômega (cantoneira ZZ) #38x38 mm</t>
  </si>
  <si>
    <t>Vergalhão rosca total 1/4"</t>
  </si>
  <si>
    <t>Saída para eletroduto Ø1"</t>
  </si>
  <si>
    <t>Parafuso com bucha de nylon S8</t>
  </si>
  <si>
    <t>Parafuso cabeça lentilha autotravante 1/4"x5/8"</t>
  </si>
  <si>
    <t>Porca sextavada 1/4"</t>
  </si>
  <si>
    <t>Arruela lisa 1/4"</t>
  </si>
  <si>
    <t>Eletrocalha #100x50 perfurada</t>
  </si>
  <si>
    <t>Eletrocalha perfurada #100x50mm tipo U chapa 18 AWG, pré-zincada à fogo. Fixação por tirantes a cada 1,5 m</t>
  </si>
  <si>
    <t>Junta telescópica #100x50 mm chapa 18 AWG</t>
  </si>
  <si>
    <t>Suporte suspensão #100x50 mm</t>
  </si>
  <si>
    <t>E39</t>
  </si>
  <si>
    <t>Cabo de cobre flexível seção 2,5 mm²,  não halogenado, isolação 750 V</t>
  </si>
  <si>
    <t xml:space="preserve"> </t>
  </si>
  <si>
    <t>16120.8.16.2</t>
  </si>
  <si>
    <t>Cabo de cobre flexível seção 2,5 mm²,  isolamento à base de composto termoplástico poliolefínico não halogenado, isolação 750 V, conforme NBR 13248 (ref. Conduspar Toxfree, Prysmiam Afumex Plus ou similar)</t>
  </si>
  <si>
    <t>Fita isolante adesiva antichama em rolos 19mm x 5m</t>
  </si>
  <si>
    <t>Cabo de cobre flexível seção 16,0 mm²,  não halogenado, isolação 0,6/1 kV (alimentador)</t>
  </si>
  <si>
    <t>16120.8.15.24</t>
  </si>
  <si>
    <t>Cabo de cobre flexível seção 16,0 mm²,  isolamento à base de composto termoplástico poliolefínico não halogenado, isolação 0,6/1 kV, conforme NBR 13248 (ref. Conduspar Toxfree, Prysmiam Afumex Plus ou similar).</t>
  </si>
  <si>
    <t>Fita autofusão em rolos 19mm x 10m</t>
  </si>
  <si>
    <r>
      <t xml:space="preserve">Cabo de cobre flexível seção 4,0 mm²,  não halogenado, isolação 750 V </t>
    </r>
    <r>
      <rPr>
        <sz val="9"/>
        <color rgb="FFFF0000"/>
        <rFont val="Arial"/>
        <family val="2"/>
      </rPr>
      <t>Quadro de bombas ESGOTO</t>
    </r>
  </si>
  <si>
    <t>16120.8.16.4</t>
  </si>
  <si>
    <t>Cabo de cobre flexível seção 4,0 mm²,  isolamento à base de composto termoplástico poliolefínico não halogenado, isolação 750 V, conforme NBR 13248 (ref. Conduspar Toxfree, Prysmiam Afumex Plus ou similar)</t>
  </si>
  <si>
    <t>Interruptor simples de uma tecla 4x2"</t>
  </si>
  <si>
    <t>E52</t>
  </si>
  <si>
    <t>Interruptor simples de uma tecla com suporte e espelho na cor branca, de embutir 4x2", 10A, 250V (ref. Pial Legrand Pialplus, Enerbras Reale, Iriel Talari, Siemens Ilus ou similar)</t>
  </si>
  <si>
    <t>Conjunto interruptores duas teclas simples 4x2"</t>
  </si>
  <si>
    <t>Conjunto duas teclas simples de embutir 4x2" com suporte e espelho na cor branca, 10A, 250V (ref. Pial Legrand Pialplus, Enerbras Reale, Iriel Talari, Siemens Ilus ou similar)</t>
  </si>
  <si>
    <t>Tomada 2P+T (NBR 14136), 20 A,  de embutir 4x2" (miolo branco)</t>
  </si>
  <si>
    <t>Tomada 2P+T (NBR 14136), de embutir 4x2" com suporte e espelho na cor branca, 20A, 250V - miolo branco (ref. Pial Legrand Pialplus, Enerbras Reale, Iriel Talari, Siemens Ilus ou similar)</t>
  </si>
  <si>
    <t>Conjunto duas tomadas 2P+T (NBR 14136), 20 A,  de embutir  (miolo branco)</t>
  </si>
  <si>
    <t>Conjunto duas tomadas 2P+T (NBR 14136), com suporte e espelho, 20A, 250V - miolo branco ou preto para condulete</t>
  </si>
  <si>
    <t>Renovador de ar de capacidade mínima 150 m³/h, 127 V (ref. Ventidis Aquarela M150 ou similar)</t>
  </si>
  <si>
    <t>Renovador de ar de capacidade mínima 150 m³/h, 127 V. Potência sonora máxima a 1,0 metro de 60 dbA. Potência elétrica máxima de 25 W. Fabricação em ABS branco (ref. Ventidis Aquarela M150 ou similar)</t>
  </si>
  <si>
    <t>Luminária de embutir redonda, com vidro jateado, com duas lâmpadas fluorescentes compacta de 23 W, e dois boicais E27. (montagem na horizontal)</t>
  </si>
  <si>
    <t>E55</t>
  </si>
  <si>
    <t>Luminária de embutir para lâmpadas compactas de reator integrado, bocal E-27, em alumínio na cor branca, refletor anodizado, vidro temperado. Ref. Metal Técnica MF 008, Lumicenter Lumidec EF08-E2E27VJC, GoldLuz FCEL E27 EF08-E2E27VJC ou similar</t>
  </si>
  <si>
    <t>E46</t>
  </si>
  <si>
    <t>Lâmpada compacta de reator integrado branca de 23W / 127V branca (4000K ou superior) com selo Procel</t>
  </si>
  <si>
    <t>E42</t>
  </si>
  <si>
    <t>Prensa-cabo rosca PG-9. Ref. Steck ou similar</t>
  </si>
  <si>
    <t>E43</t>
  </si>
  <si>
    <t>Plugue macho 2P+T, 250 V, 10 A padrão NBR 14136</t>
  </si>
  <si>
    <t>Plugue fêmea 2P+T, 250 V, 10 A padrão NBR 14136</t>
  </si>
  <si>
    <t>E44</t>
  </si>
  <si>
    <t>Cabo de cobre isolado tipo PP 3x1,0 mm²</t>
  </si>
  <si>
    <t>Luminária tipo comercial (calha) com duas lâmpadas fluorescentes 32W, reator eletrônico de alto fator de potência (&gt;=0,92), 127V, incluindo lâmpadas</t>
  </si>
  <si>
    <t>Luminária tipo comercial (calha) para duas lâmpadas fluorescentes tubular de 32 W ref. Intral ou similar equivalente, incluindo soquetes, reator eletrônico de partida rápida, alto fator de potência (&gt;= 0,92), DH máximo de 10%, com lâmpadas fluorescentes branca (4000K ou superior) de 32 W, baixo teor de mercúrio</t>
  </si>
  <si>
    <t>Quadro QD-TRANSPORTE</t>
  </si>
  <si>
    <t>16138.8.1.8</t>
  </si>
  <si>
    <t xml:space="preserve">Quadro de sobrepor de dimensões sugeridas com barramento trifásico,  com uma saída superior para eletrocalha 100x50 mm. Fabricado em chapa de aço, pintura eletrostática a pó, tratamento anti-oxidante (fosfato de ferro), grau de proteção IP54, subtampa parafusada e com dobradiças, plaquetas idenficadoras internas e externas em acrílico,  Conforme projeto unifilar, o quadro deverá possuir espaço reserva para 8 disjuntores monopolares DIN. Detalhes são mostrados no projeto (plano de face e diagrama unifilar) </t>
  </si>
  <si>
    <t>Disjuntor termomagnético bipolar 20 A, DIN, curva C</t>
  </si>
  <si>
    <t>Disjuntor termomagnético bipolar 25 A, DIN, curva C</t>
  </si>
  <si>
    <t>Disjuntor termomagnético tripolar 25 A, DIN, curva C</t>
  </si>
  <si>
    <t>Disjuntor termomagnético tripolar 63 A, DIN, curva C</t>
  </si>
  <si>
    <t>Disjuntor termomagnético monopolar 20 A, DIN, curva C</t>
  </si>
  <si>
    <t>Bazar339</t>
  </si>
  <si>
    <t>Disjuntor DR 25A</t>
  </si>
  <si>
    <t>E22</t>
  </si>
  <si>
    <t>Supressor de surtos 175V / 40 kA</t>
  </si>
  <si>
    <t>Estimado</t>
  </si>
  <si>
    <t>Acessórios (isoladores epóxi, parafusos, conectores, trilhos)</t>
  </si>
  <si>
    <t>cj</t>
  </si>
  <si>
    <t>Eletricista industrial</t>
  </si>
  <si>
    <t>Quadro QD-BOMBA DE ESGOTO</t>
  </si>
  <si>
    <t xml:space="preserve">Quadro de sobrepor com barramento trifásico,  Fabricado em chapa de aço, pintura eletrostática a pó, tratamento anti-oxidante (fosfato de ferro), grau de proteção IP54, com porta-projetos no interior, subtampa parafusada e com dobradiças, plaquetas idenficadoras internas e externas em acrílico. Botoeiras, disjuntor motor, contactor, bloco de conexão, disjuntures. conforme projeto Detalhes são mostrados no projeto (plano de face e diagrama unifilar) </t>
  </si>
  <si>
    <t>Disjuntor Motor até 3 CV</t>
  </si>
  <si>
    <t>Disjuntor termomagnético tripolar 25A, DIN, curva C</t>
  </si>
  <si>
    <t>Disjuntor termomagnético Bipolar 16 A, DIN, curva C</t>
  </si>
  <si>
    <t>Contator tripolar para motor, CWM25, 25A, AC3, montagem em trilho DIN.</t>
  </si>
  <si>
    <t>Botoeira, chaves, indicadores de led</t>
  </si>
  <si>
    <t>ELÉTRICA - COPA TERREO CASARÃO - COPA SOBRE LOJA</t>
  </si>
  <si>
    <t xml:space="preserve">Caixa de passagem plástica 4x2" para embutir </t>
  </si>
  <si>
    <t>Eletroduto de PVC rígido Ø 3/4"</t>
  </si>
  <si>
    <t>Eletroduto de PVC RIGIDO Ø 3/4"</t>
  </si>
  <si>
    <t>Eletroduto de PVC rígido Ø 1 1/2"</t>
  </si>
  <si>
    <t>Eletroduto de PVC rigido Ø 1 e 1/2"</t>
  </si>
  <si>
    <t>PINI</t>
  </si>
  <si>
    <t>16134.8.1.3</t>
  </si>
  <si>
    <t>Luminária de embutir com aletas (antireflexiva) com lâmpadas fluorescentes 4x16W</t>
  </si>
  <si>
    <t>Luminária de embutir padrão forro modular para lâmpadas fluorescentes 4x16W, em chapa de aço galvanizado e pintada, com refletor e aletas (mín. 16 células) em alumínio anodizado, fab. Lumicenter CAA01E416, Abalux A06, GoldLuz GL06, Itaim ou similar, com quatro lâmpadas fluorescentes 16 W tubular trifósforo temp cor 4000K a 5000K, IRC 85, 10.000h, baixo teor de mercúrio, ref. Philips, Osram, GE ou similar, com dois reatores eletrônicos de alto fator de potência (FP&gt;0,96) para duas lâmpadas fluorescentes de 16 W, DH máx 10%, 127 V, fixo à luminária por meio de fita dupla face</t>
  </si>
  <si>
    <t>Interruptor simples com  uma tomada de uma tecla 4x2"</t>
  </si>
  <si>
    <t>Interruptor paralelo de uma tecla 4x2"</t>
  </si>
  <si>
    <t>Interruptor paralelo de uma tecla com suporte e espelho na cor branca, de embutir 4x2", 10A, 250V (ref. Pial Legrand Pialplus, Enerbras Reale, Iriel Talari, Siemens Ilus ou similar)</t>
  </si>
  <si>
    <t>Quadro QD-COPA</t>
  </si>
  <si>
    <t xml:space="preserve">Quadro de sobrepor de dimensões sugeridas com barramento trifásico, Fabricado em chapa de aço, pintura eletrostática a pó, tratamento anti-oxidante (fosfato de ferro), subtampa parafusada e com dobradiças, plaquetas idenficadoras internas e externas em acrílico,  Conforme projeto unifilar, o quadro deverá possuir espaço reserva para 8 disjuntores monopolares DIN. Detalhes são mostrados no projeto (plano de face e diagrama unifilar) </t>
  </si>
  <si>
    <t>Disjuntor termomagnético bipolar 32 A, DIN, curva C</t>
  </si>
  <si>
    <t>Disjuntor DR 63A</t>
  </si>
  <si>
    <t>REFLETOR LED RGB 30W. Memoriza a Programação. Projetor com luz de lez colorida, minimo 16 variaçãoes de cores, inclusive branco, proteção IP65 contra chuva e jatos d'água. Alumínio  Fundido e dissipador de calor incorporado.</t>
  </si>
  <si>
    <t>REFORMAS ED RIO BRANCO - GABINETE SALA DE PERICIAS - 2 PISO CASARÃO</t>
  </si>
  <si>
    <r>
      <t xml:space="preserve">Luminária de </t>
    </r>
    <r>
      <rPr>
        <b/>
        <sz val="9"/>
        <color theme="1"/>
        <rFont val="Arial"/>
        <family val="2"/>
      </rPr>
      <t>sobrepor</t>
    </r>
    <r>
      <rPr>
        <sz val="9"/>
        <color theme="1"/>
        <rFont val="Arial"/>
        <family val="2"/>
      </rPr>
      <t xml:space="preserve"> com aletas (antireflexiva) com lâmpadas fluorescentes 2x32W</t>
    </r>
  </si>
  <si>
    <r>
      <t xml:space="preserve">Luminária de </t>
    </r>
    <r>
      <rPr>
        <b/>
        <sz val="9"/>
        <color theme="1"/>
        <rFont val="Arial"/>
        <family val="2"/>
      </rPr>
      <t>sobrepor</t>
    </r>
    <r>
      <rPr>
        <sz val="9"/>
        <color theme="1"/>
        <rFont val="Arial"/>
        <family val="2"/>
      </rPr>
      <t xml:space="preserve"> padrão forro modular para lâmpadas fluorescentes 2x32W, em chapa de aço galvanizado e pintada, com refletor e aletas em alumínio anodizado, fab. Lumicenter CAA01E416, Abalux A06, GoldLuz GL06, Itaim ou similar, com duas lâmpadas fluorescentes 32 W tubular trifósforo temp cor 4000K a 5000K, IRC 85, 10.000h, baixo teor de mercúrio, ref. Philips, Osram, GE ou similar, com um reator eletrônico de alto fator de potência (FP&gt;0,96) para duas lâmpadas fluorescentes de 32 W, DH máx 10%, 127 V, fixo à luminária por meio de fita dupla face</t>
    </r>
  </si>
  <si>
    <t>Conjunto duas tomadas 2P+T (NBR 14136), 10 A,  de embutir  (miolo vermelho)</t>
  </si>
  <si>
    <t>Conjunto duas tomadas 2P+T (NBR 14136), com suporte e espelho, 10A, 250V - miolo branco ou preto para condulete</t>
  </si>
  <si>
    <t>Bloco autônomo de iluminação de emergência, 127 V, 30 leds instalado em parede</t>
  </si>
  <si>
    <t>E41</t>
  </si>
  <si>
    <t>Bloco autônomo de iluminação de emergência, 127 V (ou bivolt), mínimo 30 leds, com bateria de autonomia mínima de 2 horas, com cordão e plug 2P padrão NBR 14136, botão de teste, corpo da luminária na cor branca, com fita adesiva indicando "SAÍDA" com seta, na cor vermelha transparente</t>
  </si>
  <si>
    <t>Bucha de nylon com parafuso S-6 para alvenaria</t>
  </si>
  <si>
    <t>Cabo de lógica 4 pares Cat. 6  UTP na cor cinza ou azul</t>
  </si>
  <si>
    <t xml:space="preserve">Cotação  </t>
  </si>
  <si>
    <t>Cabo de lógica 4 pares Cat. 6  UTP -  norma ANSI/TIA/EIA-568-B.2-1 instalado com mão de obra qualificada, sem estrangulamento do cabo, sem torção, sem deformação, fixado com velcro, sem descobrimento acima de 13mm da capa. Ref. Furukawa linha profissional ou similar.</t>
  </si>
  <si>
    <t>Eletricista Industrial</t>
  </si>
  <si>
    <t>Tomada RJ-45 CATEGORIA 6 (referência Furukawa ou equivalente)</t>
  </si>
  <si>
    <t>Placa 4x2" com suporte para 2 módulos RJ45 na cor branca (ref. Pial Legrand Pialplus, Siemens, Alumbra ou similar)</t>
  </si>
  <si>
    <t>Placa 4x2" com suporte para 2 módulos RJ45</t>
  </si>
  <si>
    <t>ELÉTRICA GABINETE SALA DE PERICIAS - 2º PISO CASARÃO</t>
  </si>
  <si>
    <t>REFORMAS ED RIO BRANCO - Eletrica copa terreo casarão - copa sobre loja</t>
  </si>
  <si>
    <t>REFORMAS ED RIO BRANCO - ELÉTRICA VESTIÁRIOS, BANHEIRO, DOS MOTORISTAS</t>
  </si>
  <si>
    <t xml:space="preserve"> ELÉTRICA VESTIÁRIOS DOS MOTORISTAS</t>
  </si>
  <si>
    <t xml:space="preserve">SINAPI </t>
  </si>
  <si>
    <t>SINAPI  + COTAÇÃO</t>
  </si>
  <si>
    <r>
      <rPr>
        <b/>
        <sz val="8"/>
        <rFont val="Arial"/>
        <family val="2"/>
      </rPr>
      <t>CONDICIONADOR</t>
    </r>
    <r>
      <rPr>
        <sz val="8"/>
        <rFont val="Arial"/>
        <family val="2"/>
      </rPr>
      <t xml:space="preserve"> de ar tipo Split, 29.000 Btu/h -SISTEMA INVERTER -  referência: FUJITSU ou similar  - quente/frio </t>
    </r>
  </si>
  <si>
    <r>
      <t xml:space="preserve">Porta corta-fogo 1,80 x 2,10 m (P-90), </t>
    </r>
    <r>
      <rPr>
        <sz val="8"/>
        <rFont val="Arial"/>
        <family val="2"/>
      </rPr>
      <t>duas folhas, completa, com barra antipânico, batentes e ferragens</t>
    </r>
  </si>
  <si>
    <t>Porta corta-fogo dupla, 1,80x2,10 m, isolação 90 min, instalada - COMPLETA INCLUSIVE BARRAS ANTIPÂNICO E FECHADURA</t>
  </si>
  <si>
    <t>12.1</t>
  </si>
  <si>
    <t>12.2</t>
  </si>
  <si>
    <t>12.3</t>
  </si>
  <si>
    <t>12.4</t>
  </si>
  <si>
    <t>12.5</t>
  </si>
  <si>
    <t>12.6</t>
  </si>
  <si>
    <t>12.7</t>
  </si>
  <si>
    <t>12.8</t>
  </si>
  <si>
    <t>12.9</t>
  </si>
  <si>
    <t>12.10</t>
  </si>
  <si>
    <t>12.11</t>
  </si>
  <si>
    <t>12.12</t>
  </si>
  <si>
    <t>12.13</t>
  </si>
  <si>
    <t>12.14</t>
  </si>
  <si>
    <t>12.15</t>
  </si>
  <si>
    <t>12.16</t>
  </si>
  <si>
    <t>12.17</t>
  </si>
  <si>
    <t>12.18</t>
  </si>
  <si>
    <t>12.19</t>
  </si>
  <si>
    <t>12.20</t>
  </si>
  <si>
    <t>12.21</t>
  </si>
  <si>
    <t>13.1</t>
  </si>
  <si>
    <t>13.2</t>
  </si>
  <si>
    <t>13.3</t>
  </si>
  <si>
    <t>13.4</t>
  </si>
  <si>
    <t>13.5</t>
  </si>
  <si>
    <t>13.6</t>
  </si>
  <si>
    <t>13.7</t>
  </si>
  <si>
    <t>13.8</t>
  </si>
  <si>
    <t>13.9</t>
  </si>
  <si>
    <t>13.10</t>
  </si>
  <si>
    <t>13.11</t>
  </si>
  <si>
    <t>13.13</t>
  </si>
  <si>
    <t>13.12</t>
  </si>
  <si>
    <t>13.14</t>
  </si>
  <si>
    <t>13.15</t>
  </si>
  <si>
    <t>13.16</t>
  </si>
  <si>
    <t>13.17</t>
  </si>
  <si>
    <t>13.18</t>
  </si>
  <si>
    <t>13.19</t>
  </si>
  <si>
    <t>14.1</t>
  </si>
  <si>
    <t>14.2</t>
  </si>
  <si>
    <t>14.3</t>
  </si>
  <si>
    <t>14.4</t>
  </si>
  <si>
    <t>14.5</t>
  </si>
  <si>
    <t>14.6</t>
  </si>
  <si>
    <t>14.7</t>
  </si>
  <si>
    <t>14.8</t>
  </si>
  <si>
    <t>14.9</t>
  </si>
  <si>
    <t>14.10</t>
  </si>
  <si>
    <t>14.11</t>
  </si>
  <si>
    <t>14.12</t>
  </si>
  <si>
    <t>14.13</t>
  </si>
  <si>
    <t>14.14</t>
  </si>
  <si>
    <t>14.15</t>
  </si>
  <si>
    <t>14.16</t>
  </si>
  <si>
    <t>ELEVATÓRIA DE ESGOTO</t>
  </si>
  <si>
    <t>TUBULAÇÃO PVC</t>
  </si>
  <si>
    <t>74165/003</t>
  </si>
  <si>
    <t>ADESIVO PVC FRASCO C/ 850G</t>
  </si>
  <si>
    <t xml:space="preserve">TUBO PVC SERIE NORMAL - ESGOTO PREDIAL DN 75MM - NBR 5688 </t>
  </si>
  <si>
    <t xml:space="preserve"> SOLUCAO LIMPADORA FRASCO PLASTICO C/ 1000CM3 </t>
  </si>
  <si>
    <t>74165/2</t>
  </si>
  <si>
    <t>74165/4</t>
  </si>
  <si>
    <t>TUBO PVC SERIE NORMAL - ESGOTO PREDIAL DN 100MM - NBR 5688</t>
  </si>
  <si>
    <t>73795/15</t>
  </si>
  <si>
    <t>VÁLVULA DE RETENÇÃO HORIZONTAL Ø 100MM (4") - FORNECIMENTO E INSTALACAO</t>
  </si>
  <si>
    <t>ESTOPA OU CORDA ALCATROADA P/ JUNTA DE TUBOS CONCRETO/CERAMICO</t>
  </si>
  <si>
    <t>VALVULA RETENCAO HORIZONTAL BRONZE (PN-25) 4" 400PSI TAMPA C/PORCA DE UNIAO - EXTREMIDADES C/ ROSCA"</t>
  </si>
  <si>
    <t>TUBULAÇÃO FG</t>
  </si>
  <si>
    <t>73976/7</t>
  </si>
  <si>
    <t>TUBO DE AÇO GALVANIZADO COM COSTURA 2" (50MM), INCLUSIVE CONEXOES - FORNECIMENTO E INSTALACAO</t>
  </si>
  <si>
    <t>FITA VEDA ROSCA EM ROLOS 18MMX10M</t>
  </si>
  <si>
    <t>TUBO ACO GALV C/ COSTURA DIN 2440/NBR 5580 CLASSE MEDIA DN 2"
(50MM) E=3,65MM - 5,10KG/M</t>
  </si>
  <si>
    <t xml:space="preserve">m </t>
  </si>
  <si>
    <t>COTOVELO DE AÇO GALVANIZADO 2" - FORNECIMENTO E INSTALAÇÃO</t>
  </si>
  <si>
    <t>TUBO ACO GALV C/ COSTURA DIN 2440/NBR 5580 CLASSE MEDIA DN 2"JOELHO FERRO GALV 90G ROSCA 2"</t>
  </si>
  <si>
    <t>UNIAO DE ACO GALVANIZADO 2" - FORNECIMENTO E INSTALACAO</t>
  </si>
  <si>
    <t>UNIAO FERRO GALV ROSCA 2"</t>
  </si>
  <si>
    <t>NIPLE DE ACO GALVANIZADO 2" - FORNECIMENTO E INSTALACAO</t>
  </si>
  <si>
    <t>NIPEL FERRO GALV ROSCA 2"</t>
  </si>
  <si>
    <t>TE DE ACO GALVANIZADO 2" - FORNECIMENTO E INSTALACAO</t>
  </si>
  <si>
    <t>TE FERRO GALVANIZADO 90G 2"</t>
  </si>
  <si>
    <t>74181/1</t>
  </si>
  <si>
    <t>REGISTRO GAVETA 2" BRUTO LATAO - FORNECIMENTO E INSTALACAO</t>
  </si>
  <si>
    <t>REGISTRO GAVETA BRUTO EM LATAO FORJADO, BITOLA 2 " (REF 1509)</t>
  </si>
  <si>
    <t>73795/5</t>
  </si>
  <si>
    <t>VÁLVULA DE RETENÇÃO VERTICAL Ø 50MM (2") - FORNECIMENTO E INSTALACAO</t>
  </si>
  <si>
    <t>VALVULA RETENCAO VERTICAL BRONZE (PN-16) 2" 200PSI - EXTREMIDADES C/ ROSCA"</t>
  </si>
  <si>
    <t>RESERVATÓRIO</t>
  </si>
  <si>
    <t>REVESTIMENTO E TRATAMENTO DA CAIXA</t>
  </si>
  <si>
    <t>IMPERMEABILIZADOR</t>
  </si>
  <si>
    <t>ARGAMASSA PARA REPARO ESTRUTURAL TIPO SIKA TOP 122 OU EQUIVALENTE</t>
  </si>
  <si>
    <t>Entelamento preventivo de superfície sujeita a trinca, largura da tela adesiva 25 cm</t>
  </si>
  <si>
    <t>Tela de poliéster adesiva largura 250 mm</t>
  </si>
  <si>
    <t>CONCRETO USINADO BOMBEADO FCK=25MPA, INCLUSIVE LANCAMENTO E ADENSAMENTO</t>
  </si>
  <si>
    <t>CONCRETO USINADO BOMBEAVEL, CLASSE DE RESISTENCIA C25, COM BRITA 0 E 1, SLUMP = 100 +/- 20 MM, INCLUI SERVICO DE BOMBEAMENTO (NBR 8953)</t>
  </si>
  <si>
    <t>FUNDO</t>
  </si>
  <si>
    <t xml:space="preserve">LATERAIS </t>
  </si>
  <si>
    <t>TAMPA</t>
  </si>
  <si>
    <t>CHAPISCO</t>
  </si>
  <si>
    <t>EMBOÇO</t>
  </si>
  <si>
    <t>TELA</t>
  </si>
  <si>
    <t>ELEVATÓRIA (0,60X1,20X1,80)</t>
  </si>
  <si>
    <t>TAMPÃO</t>
  </si>
  <si>
    <t>BOMBAS</t>
  </si>
  <si>
    <t>83730
(ADAPTADA PARA 1CM)</t>
  </si>
  <si>
    <t>APLICAÇÃO DE  ARGAMASSA POLIMERICA DE ALTO DESEMPENHO, E=2 CM  - INTERNA (5 DEMÃO CRUZADAS)</t>
  </si>
  <si>
    <t>APLICAÇÃO DE ARGAMASSA POLIMERICA DE ALTO DESEMPENHO, E=1 CM (3 DEMÃO CRUZADAS)</t>
  </si>
  <si>
    <t>TAMPAO  ARTICULADO ESTANQUE P/ POCO DE VISITA - Fechamento por parafuso sextavado  - Referência Técnica: TQ 60 - FE 50007 ferro nodular- Fuminas ou similar.</t>
  </si>
  <si>
    <t>AJUDANTE</t>
  </si>
  <si>
    <t>MONTADOR</t>
  </si>
  <si>
    <t>Moto bomba  Jacaré trituradora com um rotor aberto 116 mm , passagem de sólidos de 20- mm, acoplada a um motor de indução de 2 Cv trifásico 220/380/440 v  - saída de 2 polegadas - vazão Max. 12,1 m³/h em 22 mca - com sistema triturador de sólidos e tecidos fibrosos em geral  - Referência Técnica: Famac FBS ou similar</t>
  </si>
  <si>
    <t>TUBO PVC ESGOTO PREDIAL DN 75MM, INCLUSIVE CONEXOES - FORNECIMENTO E INSTALACAO - VENTILAÇÃO</t>
  </si>
  <si>
    <t>TUBO PVC ESGOTO PREDIAL DN 100MM, INCLUSIVE CONEXOES - FORNECIMENTO E INSTALACAO - TUBO DE QUEDA</t>
  </si>
  <si>
    <t>ABRACADEIRA TIPO D 2 1/2" C/ PARAFUSO"</t>
  </si>
  <si>
    <t>TUBO PVC ESGOTO PREDIAL DN 60MM, INCLUSIVE CONEXOES - FORNECIMENTO E INSTALACAO - TUBO CONDUÇÃO ESGOTO</t>
  </si>
  <si>
    <t xml:space="preserve">TUBO PVC SERIE NORMAL - ESGOTO PREDIAL DN 60MM - NBR 5688 </t>
  </si>
  <si>
    <t>ARGAMASSA POLIMÉRICA INTERNO</t>
  </si>
  <si>
    <t>ARGAMASSA POLIMÉRICA EXTERNO</t>
  </si>
  <si>
    <t>16135.8.1.38</t>
  </si>
  <si>
    <t>Condulete em liga de alumínio fundido Ø 1"</t>
  </si>
  <si>
    <t>'16131.8.3.3</t>
  </si>
  <si>
    <t>Eletroduto de aço carbono com costura galvanizado a fogo, Ø 25 mm 1"</t>
  </si>
  <si>
    <t>E61</t>
  </si>
  <si>
    <t>Cabo PP DE COMANDO 2x1 mm²,  utilizado para alarme de nivel alto do reservatório de esgoto e  comando das bombas.</t>
  </si>
  <si>
    <t>Relé CÍclico de Tempo</t>
  </si>
  <si>
    <t>E59</t>
  </si>
  <si>
    <t>Buzzer para Painel 30mm Intermitente - SI-127/220VCA-O-I - Sonalarme</t>
  </si>
  <si>
    <t>Sinaleiro Rotativo Tipo Giroflex Vermelho 220V - Utilizado para alarme de nivel alto do reservatorio de esgoto.</t>
  </si>
  <si>
    <t>E58</t>
  </si>
  <si>
    <t>Chave Bóia CB-2002 Superior/Inferior 15A Margirius</t>
  </si>
  <si>
    <t>Tampa para eletrocalaha Eletrocalha #100x50</t>
  </si>
  <si>
    <t>E63</t>
  </si>
  <si>
    <t xml:space="preserve">Conexão para eletrocalha diversas, #100x50mm tipo U chapa 18 AWG, pré-zincada à fogo. </t>
  </si>
  <si>
    <t>E64</t>
  </si>
  <si>
    <t>Preço unitário máximo (c/ BDI)</t>
  </si>
  <si>
    <t>CUSTO UNITÁRIO</t>
  </si>
  <si>
    <t>CUSTO TOTAL</t>
  </si>
  <si>
    <t>Preço unitário máximo (c/ BDI)
(R$)</t>
  </si>
  <si>
    <t>PREÇO
(R$)</t>
  </si>
  <si>
    <t>PREÇO GLOBAL MÁXIMO</t>
  </si>
  <si>
    <t>PREÇO TOTAL
(R$)</t>
  </si>
  <si>
    <t>Custos unitários</t>
  </si>
  <si>
    <t>Custos totais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</si>
</sst>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quot;R$ &quot;* #,##0.00_);_(&quot;R$ &quot;* \(#,##0.00\);_(&quot;R$ &quot;* &quot;-&quot;??_);_(@_)"/>
    <numFmt numFmtId="165" formatCode="_(* #,##0.00_);_(* \(#,##0.00\);_(* &quot;-&quot;??_);_(@_)"/>
    <numFmt numFmtId="166" formatCode="#,##0.000000"/>
    <numFmt numFmtId="167" formatCode="#,##0.00_);[Red]\(#,##0.00\);"/>
  </numFmts>
  <fonts count="72" x14ac:knownFonts="1">
    <font>
      <sz val="11"/>
      <color theme="1"/>
      <name val="Calibri"/>
      <family val="2"/>
      <scheme val="minor"/>
    </font>
    <font>
      <sz val="11"/>
      <color indexed="8"/>
      <name val="Calibri"/>
      <family val="2"/>
    </font>
    <font>
      <sz val="8"/>
      <color indexed="8"/>
      <name val="Arial"/>
      <family val="2"/>
    </font>
    <font>
      <b/>
      <sz val="14"/>
      <color indexed="8"/>
      <name val="Arial"/>
      <family val="2"/>
    </font>
    <font>
      <b/>
      <sz val="9"/>
      <color indexed="8"/>
      <name val="Arial"/>
      <family val="2"/>
    </font>
    <font>
      <sz val="9"/>
      <color indexed="8"/>
      <name val="Arial"/>
      <family val="2"/>
    </font>
    <font>
      <sz val="11"/>
      <color indexed="8"/>
      <name val="Calibri"/>
      <family val="2"/>
    </font>
    <font>
      <b/>
      <sz val="11"/>
      <color indexed="8"/>
      <name val="Calibri"/>
      <family val="2"/>
    </font>
    <font>
      <sz val="8"/>
      <color indexed="8"/>
      <name val="Verdana"/>
      <family val="2"/>
    </font>
    <font>
      <b/>
      <sz val="8"/>
      <color indexed="8"/>
      <name val="Arial"/>
      <family val="2"/>
    </font>
    <font>
      <sz val="8"/>
      <name val="Verdana"/>
      <family val="2"/>
    </font>
    <font>
      <b/>
      <sz val="9"/>
      <name val="Arial"/>
      <family val="2"/>
    </font>
    <font>
      <b/>
      <sz val="12"/>
      <color indexed="8"/>
      <name val="Arial"/>
      <family val="2"/>
    </font>
    <font>
      <sz val="10"/>
      <name val="Arial"/>
      <family val="2"/>
    </font>
    <font>
      <sz val="11"/>
      <name val="Arial"/>
      <family val="2"/>
    </font>
    <font>
      <b/>
      <sz val="12"/>
      <name val="Arial"/>
      <family val="2"/>
    </font>
    <font>
      <sz val="12"/>
      <color indexed="8"/>
      <name val="Arial"/>
      <family val="2"/>
    </font>
    <font>
      <sz val="8"/>
      <name val="Arial"/>
      <family val="2"/>
    </font>
    <font>
      <b/>
      <sz val="8"/>
      <name val="Arial"/>
      <family val="2"/>
    </font>
    <font>
      <sz val="11"/>
      <color indexed="8"/>
      <name val="Arial"/>
      <family val="2"/>
    </font>
    <font>
      <sz val="14"/>
      <color indexed="8"/>
      <name val="Calibri"/>
      <family val="2"/>
    </font>
    <font>
      <sz val="10"/>
      <color indexed="8"/>
      <name val="Calibri"/>
      <family val="2"/>
    </font>
    <font>
      <sz val="12"/>
      <color indexed="8"/>
      <name val="Calibri"/>
      <family val="2"/>
    </font>
    <font>
      <sz val="8"/>
      <color indexed="8"/>
      <name val="Calibri"/>
      <family val="2"/>
    </font>
    <font>
      <sz val="8"/>
      <name val="Calibri"/>
      <family val="2"/>
    </font>
    <font>
      <b/>
      <sz val="6"/>
      <color indexed="8"/>
      <name val="Arial"/>
      <family val="2"/>
    </font>
    <font>
      <sz val="6"/>
      <color indexed="8"/>
      <name val="Arial"/>
      <family val="2"/>
    </font>
    <font>
      <sz val="8"/>
      <color indexed="8"/>
      <name val="Calibri"/>
      <family val="2"/>
    </font>
    <font>
      <sz val="7"/>
      <color indexed="8"/>
      <name val="Calibri"/>
      <family val="2"/>
    </font>
    <font>
      <sz val="6"/>
      <color indexed="8"/>
      <name val="Calibri"/>
      <family val="2"/>
    </font>
    <font>
      <sz val="11"/>
      <color theme="1"/>
      <name val="Calibri"/>
      <family val="2"/>
      <scheme val="minor"/>
    </font>
    <font>
      <sz val="11"/>
      <color theme="0"/>
      <name val="Calibri"/>
      <family val="2"/>
      <scheme val="minor"/>
    </font>
    <font>
      <sz val="11"/>
      <color rgb="FF006100"/>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sz val="10"/>
      <color theme="1"/>
      <name val="Calibri"/>
      <family val="2"/>
      <scheme val="minor"/>
    </font>
    <font>
      <b/>
      <sz val="9"/>
      <color indexed="8"/>
      <name val="Calibri"/>
      <family val="2"/>
    </font>
    <font>
      <sz val="9"/>
      <color theme="1"/>
      <name val="Calibri"/>
      <family val="2"/>
      <scheme val="minor"/>
    </font>
    <font>
      <sz val="7"/>
      <color theme="1"/>
      <name val="Calibri"/>
      <family val="2"/>
      <scheme val="minor"/>
    </font>
    <font>
      <b/>
      <sz val="10"/>
      <name val="Arial"/>
      <family val="2"/>
    </font>
    <font>
      <b/>
      <sz val="10"/>
      <color indexed="8"/>
      <name val="Arial"/>
      <family val="2"/>
    </font>
    <font>
      <sz val="10"/>
      <color indexed="8"/>
      <name val="Arial"/>
      <family val="2"/>
    </font>
    <font>
      <sz val="8"/>
      <color theme="1"/>
      <name val="Calibri"/>
      <family val="2"/>
      <scheme val="minor"/>
    </font>
    <font>
      <sz val="14"/>
      <color theme="1"/>
      <name val="Calibri"/>
      <family val="2"/>
      <scheme val="minor"/>
    </font>
    <font>
      <b/>
      <sz val="16"/>
      <color indexed="8"/>
      <name val="Calibri"/>
      <family val="2"/>
    </font>
    <font>
      <b/>
      <sz val="12"/>
      <color indexed="8"/>
      <name val="Calibri"/>
      <family val="2"/>
    </font>
    <font>
      <sz val="7"/>
      <color rgb="FFFF0000"/>
      <name val="Calibri"/>
      <family val="2"/>
    </font>
    <font>
      <b/>
      <sz val="7"/>
      <color indexed="8"/>
      <name val="Calibri"/>
      <family val="2"/>
    </font>
    <font>
      <b/>
      <sz val="7"/>
      <color theme="1"/>
      <name val="Calibri"/>
      <family val="2"/>
      <scheme val="minor"/>
    </font>
    <font>
      <b/>
      <sz val="7"/>
      <name val="Calibri"/>
      <family val="2"/>
    </font>
    <font>
      <i/>
      <sz val="7"/>
      <color indexed="8"/>
      <name val="Calibri"/>
      <family val="2"/>
    </font>
    <font>
      <sz val="6"/>
      <name val="Arial"/>
      <family val="2"/>
    </font>
    <font>
      <b/>
      <i/>
      <sz val="14"/>
      <color theme="1"/>
      <name val="Calibri"/>
      <family val="2"/>
      <scheme val="minor"/>
    </font>
    <font>
      <i/>
      <sz val="8"/>
      <name val="Verdana"/>
      <family val="2"/>
    </font>
    <font>
      <i/>
      <sz val="11"/>
      <color theme="1"/>
      <name val="Calibri"/>
      <family val="2"/>
      <scheme val="minor"/>
    </font>
    <font>
      <b/>
      <sz val="12"/>
      <color theme="1"/>
      <name val="Arial"/>
      <family val="2"/>
    </font>
    <font>
      <b/>
      <sz val="9"/>
      <color theme="1"/>
      <name val="Arial"/>
      <family val="2"/>
    </font>
    <font>
      <sz val="9"/>
      <color theme="1"/>
      <name val="Arial"/>
      <family val="2"/>
    </font>
    <font>
      <sz val="9"/>
      <name val="Arial"/>
      <family val="2"/>
    </font>
    <font>
      <sz val="9"/>
      <color rgb="FFFF0000"/>
      <name val="Arial"/>
      <family val="2"/>
    </font>
  </fonts>
  <fills count="5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11"/>
      </patternFill>
    </fill>
    <fill>
      <patternFill patternType="solid">
        <fgColor indexed="36"/>
      </patternFill>
    </fill>
    <fill>
      <patternFill patternType="solid">
        <fgColor indexed="52"/>
      </patternFill>
    </fill>
    <fill>
      <patternFill patternType="solid">
        <fgColor indexed="9"/>
        <bgColor indexed="64"/>
      </patternFill>
    </fill>
    <fill>
      <patternFill patternType="solid">
        <fgColor indexed="9"/>
        <bgColor indexed="26"/>
      </patternFill>
    </fill>
    <fill>
      <patternFill patternType="solid">
        <fgColor indexed="43"/>
        <bgColor indexed="64"/>
      </patternFill>
    </fill>
    <fill>
      <patternFill patternType="solid">
        <fgColor indexed="47"/>
        <bgColor indexed="64"/>
      </patternFill>
    </fill>
    <fill>
      <patternFill patternType="solid">
        <fgColor indexed="47"/>
        <bgColor indexed="8"/>
      </patternFill>
    </fill>
    <fill>
      <patternFill patternType="solid">
        <fgColor indexed="26"/>
        <bgColor indexed="64"/>
      </patternFill>
    </fill>
    <fill>
      <patternFill patternType="solid">
        <fgColor indexed="22"/>
        <bgColor indexed="64"/>
      </patternFill>
    </fill>
    <fill>
      <patternFill patternType="solid">
        <fgColor indexed="31"/>
        <bgColor indexed="64"/>
      </patternFill>
    </fill>
    <fill>
      <patternFill patternType="solid">
        <fgColor indexed="42"/>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rgb="FFC6EFCE"/>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C7CE"/>
      </patternFill>
    </fill>
    <fill>
      <patternFill patternType="solid">
        <fgColor rgb="FFFFEB9C"/>
      </patternFill>
    </fill>
    <fill>
      <patternFill patternType="solid">
        <fgColor rgb="FFFFFFCC"/>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9" tint="0.79998168889431442"/>
        <bgColor indexed="26"/>
      </patternFill>
    </fill>
    <fill>
      <patternFill patternType="solid">
        <fgColor rgb="FFFFFF00"/>
        <bgColor indexed="64"/>
      </patternFill>
    </fill>
    <fill>
      <patternFill patternType="solid">
        <fgColor theme="0" tint="-0.249977111117893"/>
        <bgColor indexed="64"/>
      </patternFill>
    </fill>
  </fills>
  <borders count="120">
    <border>
      <left/>
      <right/>
      <top/>
      <bottom/>
      <diagonal/>
    </border>
    <border>
      <left/>
      <right/>
      <top style="hair">
        <color indexed="64"/>
      </top>
      <bottom style="hair">
        <color indexed="64"/>
      </bottom>
      <diagonal/>
    </border>
    <border>
      <left style="hair">
        <color indexed="64"/>
      </left>
      <right/>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thin">
        <color indexed="64"/>
      </left>
      <right style="hair">
        <color indexed="64"/>
      </right>
      <top/>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hair">
        <color indexed="64"/>
      </top>
      <bottom style="hair">
        <color indexed="64"/>
      </bottom>
      <diagonal/>
    </border>
    <border>
      <left style="thin">
        <color indexed="64"/>
      </left>
      <right style="thin">
        <color indexed="64"/>
      </right>
      <top/>
      <bottom style="hair">
        <color indexed="64"/>
      </bottom>
      <diagonal/>
    </border>
    <border>
      <left/>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style="hair">
        <color indexed="64"/>
      </right>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bottom/>
      <diagonal/>
    </border>
    <border>
      <left style="medium">
        <color indexed="64"/>
      </left>
      <right style="hair">
        <color indexed="64"/>
      </right>
      <top style="hair">
        <color indexed="64"/>
      </top>
      <bottom/>
      <diagonal/>
    </border>
    <border>
      <left style="thin">
        <color indexed="64"/>
      </left>
      <right/>
      <top/>
      <bottom style="medium">
        <color indexed="64"/>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medium">
        <color indexed="64"/>
      </bottom>
      <diagonal/>
    </border>
    <border>
      <left style="hair">
        <color indexed="64"/>
      </left>
      <right style="medium">
        <color indexed="64"/>
      </right>
      <top style="hair">
        <color indexed="64"/>
      </top>
      <bottom/>
      <diagonal/>
    </border>
    <border>
      <left/>
      <right style="hair">
        <color indexed="64"/>
      </right>
      <top style="thin">
        <color indexed="64"/>
      </top>
      <bottom style="thin">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medium">
        <color indexed="64"/>
      </left>
      <right/>
      <top style="medium">
        <color indexed="64"/>
      </top>
      <bottom style="thin">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thin">
        <color indexed="64"/>
      </top>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46">
    <xf numFmtId="0" fontId="0" fillId="0" borderId="0"/>
    <xf numFmtId="0" fontId="30" fillId="2" borderId="0" applyNumberFormat="0" applyBorder="0" applyAlignment="0" applyProtection="0"/>
    <xf numFmtId="0" fontId="30" fillId="3" borderId="0" applyNumberFormat="0" applyBorder="0" applyAlignment="0" applyProtection="0"/>
    <xf numFmtId="0" fontId="30" fillId="4" borderId="0" applyNumberFormat="0" applyBorder="0" applyAlignment="0" applyProtection="0"/>
    <xf numFmtId="0" fontId="30" fillId="5"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30" fillId="20" borderId="0" applyNumberFormat="0" applyBorder="0" applyAlignment="0" applyProtection="0"/>
    <xf numFmtId="0" fontId="30" fillId="21" borderId="0" applyNumberFormat="0" applyBorder="0" applyAlignment="0" applyProtection="0"/>
    <xf numFmtId="0" fontId="30" fillId="6"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30" fillId="24" borderId="0" applyNumberFormat="0" applyBorder="0" applyAlignment="0" applyProtection="0"/>
    <xf numFmtId="0" fontId="31" fillId="25" borderId="0" applyNumberFormat="0" applyBorder="0" applyAlignment="0" applyProtection="0"/>
    <xf numFmtId="0" fontId="31" fillId="26"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27" borderId="0" applyNumberFormat="0" applyBorder="0" applyAlignment="0" applyProtection="0"/>
    <xf numFmtId="0" fontId="31" fillId="8" borderId="0" applyNumberFormat="0" applyBorder="0" applyAlignment="0" applyProtection="0"/>
    <xf numFmtId="0" fontId="32" fillId="28" borderId="0" applyNumberFormat="0" applyBorder="0" applyAlignment="0" applyProtection="0"/>
    <xf numFmtId="0" fontId="33" fillId="29" borderId="80" applyNumberFormat="0" applyAlignment="0" applyProtection="0"/>
    <xf numFmtId="0" fontId="34" fillId="30" borderId="81" applyNumberFormat="0" applyAlignment="0" applyProtection="0"/>
    <xf numFmtId="0" fontId="35" fillId="0" borderId="82" applyNumberFormat="0" applyFill="0" applyAlignment="0" applyProtection="0"/>
    <xf numFmtId="0" fontId="31" fillId="31" borderId="0" applyNumberFormat="0" applyBorder="0" applyAlignment="0" applyProtection="0"/>
    <xf numFmtId="0" fontId="31" fillId="32" borderId="0" applyNumberFormat="0" applyBorder="0" applyAlignment="0" applyProtection="0"/>
    <xf numFmtId="0" fontId="31" fillId="33" borderId="0" applyNumberFormat="0" applyBorder="0" applyAlignment="0" applyProtection="0"/>
    <xf numFmtId="0" fontId="31" fillId="34" borderId="0" applyNumberFormat="0" applyBorder="0" applyAlignment="0" applyProtection="0"/>
    <xf numFmtId="0" fontId="31" fillId="35" borderId="0" applyNumberFormat="0" applyBorder="0" applyAlignment="0" applyProtection="0"/>
    <xf numFmtId="0" fontId="31" fillId="36" borderId="0" applyNumberFormat="0" applyBorder="0" applyAlignment="0" applyProtection="0"/>
    <xf numFmtId="0" fontId="36" fillId="37" borderId="80" applyNumberFormat="0" applyAlignment="0" applyProtection="0"/>
    <xf numFmtId="0" fontId="37" fillId="38" borderId="0" applyNumberFormat="0" applyBorder="0" applyAlignment="0" applyProtection="0"/>
    <xf numFmtId="164" fontId="6" fillId="0" borderId="0" applyFont="0" applyFill="0" applyBorder="0" applyAlignment="0" applyProtection="0"/>
    <xf numFmtId="0" fontId="38" fillId="39" borderId="0" applyNumberFormat="0" applyBorder="0" applyAlignment="0" applyProtection="0"/>
    <xf numFmtId="0" fontId="6" fillId="40" borderId="83" applyNumberFormat="0" applyFont="0" applyAlignment="0" applyProtection="0"/>
    <xf numFmtId="0" fontId="39" fillId="29" borderId="84" applyNumberFormat="0" applyAlignment="0" applyProtection="0"/>
    <xf numFmtId="0" fontId="40" fillId="0" borderId="0" applyNumberFormat="0" applyFill="0" applyBorder="0" applyAlignment="0" applyProtection="0"/>
    <xf numFmtId="0" fontId="41" fillId="0" borderId="0" applyNumberFormat="0" applyFill="0" applyBorder="0" applyAlignment="0" applyProtection="0"/>
    <xf numFmtId="0" fontId="42" fillId="0" borderId="0" applyNumberFormat="0" applyFill="0" applyBorder="0" applyAlignment="0" applyProtection="0"/>
    <xf numFmtId="0" fontId="43" fillId="0" borderId="85" applyNumberFormat="0" applyFill="0" applyAlignment="0" applyProtection="0"/>
    <xf numFmtId="0" fontId="44" fillId="0" borderId="86" applyNumberFormat="0" applyFill="0" applyAlignment="0" applyProtection="0"/>
    <xf numFmtId="0" fontId="45" fillId="0" borderId="87" applyNumberFormat="0" applyFill="0" applyAlignment="0" applyProtection="0"/>
    <xf numFmtId="0" fontId="45" fillId="0" borderId="0" applyNumberFormat="0" applyFill="0" applyBorder="0" applyAlignment="0" applyProtection="0"/>
    <xf numFmtId="0" fontId="46" fillId="0" borderId="88" applyNumberFormat="0" applyFill="0" applyAlignment="0" applyProtection="0"/>
    <xf numFmtId="165" fontId="6" fillId="0" borderId="0" applyFont="0" applyFill="0" applyBorder="0" applyAlignment="0" applyProtection="0"/>
    <xf numFmtId="165" fontId="1" fillId="0" borderId="0" applyFont="0" applyFill="0" applyBorder="0" applyAlignment="0" applyProtection="0"/>
    <xf numFmtId="9" fontId="30" fillId="0" borderId="0" applyFont="0" applyFill="0" applyBorder="0" applyAlignment="0" applyProtection="0"/>
  </cellStyleXfs>
  <cellXfs count="860">
    <xf numFmtId="0" fontId="0" fillId="0" borderId="0" xfId="0"/>
    <xf numFmtId="0" fontId="4" fillId="0" borderId="0" xfId="0" applyFont="1" applyBorder="1" applyAlignment="1">
      <alignment horizontal="right"/>
    </xf>
    <xf numFmtId="0" fontId="5" fillId="0" borderId="0" xfId="0" applyFont="1" applyBorder="1" applyAlignment="1">
      <alignment wrapText="1"/>
    </xf>
    <xf numFmtId="4" fontId="5" fillId="0" borderId="0" xfId="0" applyNumberFormat="1" applyFont="1" applyBorder="1" applyAlignment="1">
      <alignment horizontal="left" vertical="center"/>
    </xf>
    <xf numFmtId="0" fontId="10" fillId="9" borderId="1" xfId="0" applyFont="1" applyFill="1" applyBorder="1" applyAlignment="1">
      <alignment vertical="top" wrapText="1"/>
    </xf>
    <xf numFmtId="165" fontId="10" fillId="9" borderId="1" xfId="43" applyFont="1" applyFill="1" applyBorder="1" applyAlignment="1">
      <alignment vertical="top" wrapText="1"/>
    </xf>
    <xf numFmtId="0" fontId="0" fillId="0" borderId="0" xfId="0" applyAlignment="1"/>
    <xf numFmtId="4" fontId="5" fillId="0" borderId="0" xfId="0" applyNumberFormat="1" applyFont="1" applyBorder="1" applyAlignment="1"/>
    <xf numFmtId="0" fontId="5" fillId="0" borderId="0" xfId="0" applyFont="1" applyBorder="1" applyAlignment="1"/>
    <xf numFmtId="0" fontId="9" fillId="0" borderId="1" xfId="0" applyFont="1" applyBorder="1" applyAlignment="1">
      <alignment horizontal="center" vertical="top" wrapText="1"/>
    </xf>
    <xf numFmtId="0" fontId="0" fillId="0" borderId="0" xfId="0" applyAlignment="1">
      <alignment horizontal="center"/>
    </xf>
    <xf numFmtId="0" fontId="5" fillId="0" borderId="2" xfId="0" applyFont="1" applyBorder="1" applyAlignment="1">
      <alignment horizontal="center" wrapText="1"/>
    </xf>
    <xf numFmtId="0" fontId="13" fillId="9" borderId="0" xfId="0" applyFont="1" applyFill="1" applyAlignment="1">
      <alignment horizontal="left" vertical="center" wrapText="1"/>
    </xf>
    <xf numFmtId="0" fontId="13" fillId="10" borderId="3" xfId="0" applyFont="1" applyFill="1" applyBorder="1" applyAlignment="1">
      <alignment horizontal="center" vertical="center" wrapText="1"/>
    </xf>
    <xf numFmtId="0" fontId="13" fillId="10" borderId="4" xfId="0" applyFont="1" applyFill="1" applyBorder="1" applyAlignment="1">
      <alignment horizontal="center" vertical="center" wrapText="1"/>
    </xf>
    <xf numFmtId="0" fontId="13" fillId="10" borderId="1" xfId="0" applyFont="1" applyFill="1" applyBorder="1" applyAlignment="1">
      <alignment horizontal="center" vertical="center" wrapText="1"/>
    </xf>
    <xf numFmtId="0" fontId="13" fillId="10" borderId="4" xfId="0" applyFont="1" applyFill="1" applyBorder="1" applyAlignment="1">
      <alignment horizontal="left" vertical="center" wrapText="1"/>
    </xf>
    <xf numFmtId="4" fontId="13" fillId="10" borderId="1" xfId="0" applyNumberFormat="1" applyFont="1" applyFill="1" applyBorder="1" applyAlignment="1">
      <alignment horizontal="left" vertical="center" wrapText="1"/>
    </xf>
    <xf numFmtId="4" fontId="13" fillId="10" borderId="4" xfId="0" applyNumberFormat="1" applyFont="1" applyFill="1" applyBorder="1" applyAlignment="1">
      <alignment horizontal="center" vertical="center" wrapText="1"/>
    </xf>
    <xf numFmtId="4" fontId="13" fillId="10" borderId="6" xfId="31" applyNumberFormat="1" applyFont="1" applyFill="1" applyBorder="1" applyAlignment="1">
      <alignment horizontal="left" vertical="center" wrapText="1"/>
    </xf>
    <xf numFmtId="4" fontId="13" fillId="10" borderId="4" xfId="31" applyNumberFormat="1" applyFont="1" applyFill="1" applyBorder="1" applyAlignment="1">
      <alignment horizontal="left" vertical="center" wrapText="1"/>
    </xf>
    <xf numFmtId="4" fontId="13" fillId="10" borderId="1" xfId="0" applyNumberFormat="1" applyFont="1" applyFill="1" applyBorder="1" applyAlignment="1">
      <alignment horizontal="center" vertical="center" wrapText="1"/>
    </xf>
    <xf numFmtId="4" fontId="13" fillId="10" borderId="6" xfId="0" applyNumberFormat="1" applyFont="1" applyFill="1" applyBorder="1" applyAlignment="1">
      <alignment horizontal="center" vertical="center" wrapText="1"/>
    </xf>
    <xf numFmtId="0" fontId="19" fillId="0" borderId="0" xfId="0" applyFont="1" applyAlignment="1"/>
    <xf numFmtId="0" fontId="9" fillId="0" borderId="0" xfId="0" applyFont="1" applyAlignment="1">
      <alignment horizontal="right" wrapText="1"/>
    </xf>
    <xf numFmtId="0" fontId="16" fillId="0" borderId="0" xfId="0" applyFont="1" applyFill="1" applyAlignment="1"/>
    <xf numFmtId="0" fontId="17" fillId="9" borderId="7" xfId="0" applyFont="1" applyFill="1" applyBorder="1" applyAlignment="1">
      <alignment vertical="top" wrapText="1"/>
    </xf>
    <xf numFmtId="165" fontId="17" fillId="9" borderId="7" xfId="43" applyFont="1" applyFill="1" applyBorder="1" applyAlignment="1">
      <alignment vertical="top" wrapText="1"/>
    </xf>
    <xf numFmtId="165" fontId="17" fillId="0" borderId="7" xfId="43" applyFont="1" applyBorder="1" applyAlignment="1">
      <alignment horizontal="right" vertical="top" wrapText="1"/>
    </xf>
    <xf numFmtId="0" fontId="18" fillId="0" borderId="1" xfId="0" applyFont="1" applyBorder="1" applyAlignment="1">
      <alignment horizontal="center" vertical="top" wrapText="1"/>
    </xf>
    <xf numFmtId="0" fontId="17" fillId="9" borderId="1" xfId="0" applyFont="1" applyFill="1" applyBorder="1" applyAlignment="1">
      <alignment vertical="top" wrapText="1"/>
    </xf>
    <xf numFmtId="165" fontId="17" fillId="9" borderId="1" xfId="43" applyFont="1" applyFill="1" applyBorder="1" applyAlignment="1">
      <alignment vertical="top" wrapText="1"/>
    </xf>
    <xf numFmtId="0" fontId="17" fillId="0" borderId="1" xfId="0" applyFont="1" applyBorder="1" applyAlignment="1">
      <alignment horizontal="center" vertical="top" wrapText="1"/>
    </xf>
    <xf numFmtId="165" fontId="17" fillId="0" borderId="1" xfId="43" applyFont="1" applyBorder="1" applyAlignment="1">
      <alignment horizontal="right" vertical="top" wrapText="1"/>
    </xf>
    <xf numFmtId="0" fontId="18" fillId="9" borderId="1" xfId="0" applyFont="1" applyFill="1" applyBorder="1" applyAlignment="1">
      <alignment horizontal="center" vertical="top" wrapText="1"/>
    </xf>
    <xf numFmtId="165" fontId="17" fillId="9" borderId="7" xfId="43" applyFont="1" applyFill="1" applyBorder="1" applyAlignment="1">
      <alignment horizontal="right" vertical="top" wrapText="1"/>
    </xf>
    <xf numFmtId="4" fontId="20" fillId="0" borderId="0" xfId="0" applyNumberFormat="1" applyFont="1" applyAlignment="1">
      <alignment horizontal="right"/>
    </xf>
    <xf numFmtId="0" fontId="20" fillId="0" borderId="0" xfId="0" applyFont="1"/>
    <xf numFmtId="10" fontId="0" fillId="0" borderId="0" xfId="0" applyNumberFormat="1"/>
    <xf numFmtId="0" fontId="20" fillId="11" borderId="10" xfId="0" applyFont="1" applyFill="1" applyBorder="1"/>
    <xf numFmtId="0" fontId="0" fillId="11" borderId="10" xfId="0" applyFill="1" applyBorder="1"/>
    <xf numFmtId="0" fontId="0" fillId="11" borderId="0" xfId="0" applyFill="1" applyBorder="1" applyAlignment="1">
      <alignment horizontal="left"/>
    </xf>
    <xf numFmtId="10" fontId="0" fillId="11" borderId="11" xfId="0" applyNumberFormat="1" applyFill="1" applyBorder="1"/>
    <xf numFmtId="0" fontId="0" fillId="11" borderId="12" xfId="0" applyFill="1" applyBorder="1"/>
    <xf numFmtId="10" fontId="0" fillId="11" borderId="13" xfId="0" applyNumberFormat="1" applyFill="1" applyBorder="1"/>
    <xf numFmtId="4" fontId="20" fillId="11" borderId="0" xfId="0" applyNumberFormat="1" applyFont="1" applyFill="1" applyBorder="1" applyAlignment="1">
      <alignment horizontal="right"/>
    </xf>
    <xf numFmtId="0" fontId="2" fillId="9" borderId="14" xfId="0" applyFont="1" applyFill="1" applyBorder="1" applyAlignment="1">
      <alignment wrapText="1"/>
    </xf>
    <xf numFmtId="0" fontId="4" fillId="9" borderId="0" xfId="0" applyFont="1" applyFill="1" applyBorder="1" applyAlignment="1">
      <alignment horizontal="center"/>
    </xf>
    <xf numFmtId="0" fontId="5" fillId="9" borderId="0" xfId="0" applyFont="1" applyFill="1" applyBorder="1" applyAlignment="1">
      <alignment horizontal="left"/>
    </xf>
    <xf numFmtId="0" fontId="5" fillId="9" borderId="0" xfId="0" applyFont="1" applyFill="1" applyBorder="1" applyAlignment="1">
      <alignment horizontal="right" wrapText="1"/>
    </xf>
    <xf numFmtId="166" fontId="5" fillId="9" borderId="0" xfId="0" applyNumberFormat="1" applyFont="1" applyFill="1" applyBorder="1" applyAlignment="1">
      <alignment horizontal="right" wrapText="1"/>
    </xf>
    <xf numFmtId="4" fontId="5" fillId="9" borderId="0" xfId="0" applyNumberFormat="1" applyFont="1" applyFill="1" applyBorder="1" applyAlignment="1"/>
    <xf numFmtId="0" fontId="5" fillId="9" borderId="0" xfId="0" applyFont="1" applyFill="1" applyBorder="1" applyAlignment="1"/>
    <xf numFmtId="0" fontId="19" fillId="9" borderId="0" xfId="0" applyFont="1" applyFill="1" applyBorder="1" applyAlignment="1"/>
    <xf numFmtId="0" fontId="4" fillId="9" borderId="0" xfId="0" applyFont="1" applyFill="1" applyBorder="1" applyAlignment="1">
      <alignment horizontal="right"/>
    </xf>
    <xf numFmtId="17" fontId="5" fillId="9" borderId="0" xfId="0" applyNumberFormat="1" applyFont="1" applyFill="1" applyBorder="1" applyAlignment="1">
      <alignment horizontal="left"/>
    </xf>
    <xf numFmtId="17" fontId="5" fillId="9" borderId="15" xfId="0" applyNumberFormat="1" applyFont="1" applyFill="1" applyBorder="1" applyAlignment="1">
      <alignment horizontal="left"/>
    </xf>
    <xf numFmtId="0" fontId="2" fillId="9" borderId="14" xfId="0" applyFont="1" applyFill="1" applyBorder="1" applyAlignment="1">
      <alignment horizontal="left" wrapText="1"/>
    </xf>
    <xf numFmtId="0" fontId="5" fillId="9" borderId="0" xfId="0" applyNumberFormat="1" applyFont="1" applyFill="1" applyBorder="1" applyAlignment="1">
      <alignment horizontal="right" wrapText="1"/>
    </xf>
    <xf numFmtId="10" fontId="5" fillId="9" borderId="0" xfId="0" applyNumberFormat="1" applyFont="1" applyFill="1" applyBorder="1" applyAlignment="1">
      <alignment horizontal="left" vertical="center" wrapText="1"/>
    </xf>
    <xf numFmtId="10" fontId="5" fillId="9" borderId="15" xfId="0" applyNumberFormat="1" applyFont="1" applyFill="1" applyBorder="1" applyAlignment="1">
      <alignment horizontal="left" vertical="center" wrapText="1"/>
    </xf>
    <xf numFmtId="0" fontId="9" fillId="9" borderId="14" xfId="0" applyFont="1" applyFill="1" applyBorder="1" applyAlignment="1">
      <alignment horizontal="right" wrapText="1"/>
    </xf>
    <xf numFmtId="0" fontId="4" fillId="9" borderId="0" xfId="0" applyFont="1" applyFill="1" applyBorder="1" applyAlignment="1">
      <alignment horizontal="center" vertical="center" wrapText="1"/>
    </xf>
    <xf numFmtId="0" fontId="4" fillId="9" borderId="0" xfId="0" applyNumberFormat="1" applyFont="1" applyFill="1" applyBorder="1" applyAlignment="1">
      <alignment horizontal="center" vertical="center" wrapText="1"/>
    </xf>
    <xf numFmtId="0" fontId="9" fillId="9" borderId="16" xfId="0" applyFont="1" applyFill="1" applyBorder="1" applyAlignment="1">
      <alignment horizontal="right" wrapText="1"/>
    </xf>
    <xf numFmtId="0" fontId="4" fillId="9" borderId="17" xfId="0" applyFont="1" applyFill="1" applyBorder="1" applyAlignment="1">
      <alignment horizontal="center"/>
    </xf>
    <xf numFmtId="0" fontId="4" fillId="9" borderId="17" xfId="0" applyFont="1" applyFill="1" applyBorder="1" applyAlignment="1">
      <alignment horizontal="center" vertical="center" wrapText="1"/>
    </xf>
    <xf numFmtId="0" fontId="4" fillId="9" borderId="17" xfId="0" applyNumberFormat="1" applyFont="1" applyFill="1" applyBorder="1" applyAlignment="1">
      <alignment horizontal="center" vertical="center" wrapText="1"/>
    </xf>
    <xf numFmtId="4" fontId="5" fillId="9" borderId="17" xfId="0" applyNumberFormat="1" applyFont="1" applyFill="1" applyBorder="1" applyAlignment="1"/>
    <xf numFmtId="0" fontId="5" fillId="9" borderId="17" xfId="0" applyFont="1" applyFill="1" applyBorder="1" applyAlignment="1"/>
    <xf numFmtId="0" fontId="19" fillId="9" borderId="17" xfId="0" applyFont="1" applyFill="1" applyBorder="1" applyAlignment="1"/>
    <xf numFmtId="0" fontId="4" fillId="9" borderId="17" xfId="0" applyFont="1" applyFill="1" applyBorder="1" applyAlignment="1">
      <alignment horizontal="right"/>
    </xf>
    <xf numFmtId="17" fontId="5" fillId="9" borderId="17" xfId="0" applyNumberFormat="1" applyFont="1" applyFill="1" applyBorder="1" applyAlignment="1">
      <alignment horizontal="left"/>
    </xf>
    <xf numFmtId="10" fontId="5" fillId="9" borderId="18" xfId="0" applyNumberFormat="1" applyFont="1" applyFill="1" applyBorder="1" applyAlignment="1">
      <alignment horizontal="left"/>
    </xf>
    <xf numFmtId="4" fontId="0" fillId="0" borderId="6" xfId="0" applyNumberFormat="1" applyBorder="1"/>
    <xf numFmtId="4" fontId="0" fillId="0" borderId="0" xfId="0" applyNumberFormat="1"/>
    <xf numFmtId="0" fontId="0" fillId="0" borderId="25" xfId="0" applyBorder="1" applyAlignment="1">
      <alignment horizontal="center"/>
    </xf>
    <xf numFmtId="4" fontId="0" fillId="0" borderId="0" xfId="0" applyNumberFormat="1" applyAlignment="1"/>
    <xf numFmtId="0" fontId="0" fillId="0" borderId="0" xfId="0" applyAlignment="1">
      <alignment wrapText="1"/>
    </xf>
    <xf numFmtId="0" fontId="0" fillId="0" borderId="29" xfId="0" applyBorder="1" applyAlignment="1">
      <alignment horizontal="center" wrapText="1"/>
    </xf>
    <xf numFmtId="4" fontId="0" fillId="0" borderId="30" xfId="0" applyNumberFormat="1" applyBorder="1" applyAlignment="1">
      <alignment horizontal="center" wrapText="1"/>
    </xf>
    <xf numFmtId="0" fontId="22" fillId="0" borderId="0" xfId="0" applyFont="1"/>
    <xf numFmtId="0" fontId="22" fillId="0" borderId="0" xfId="0" applyFont="1" applyBorder="1"/>
    <xf numFmtId="0" fontId="16" fillId="9" borderId="0" xfId="0" applyFont="1" applyFill="1" applyBorder="1" applyAlignment="1">
      <alignment horizontal="left"/>
    </xf>
    <xf numFmtId="0" fontId="16" fillId="9" borderId="0" xfId="0" applyNumberFormat="1" applyFont="1" applyFill="1" applyBorder="1" applyAlignment="1">
      <alignment horizontal="right" wrapText="1"/>
    </xf>
    <xf numFmtId="4" fontId="16" fillId="9" borderId="0" xfId="0" applyNumberFormat="1" applyFont="1" applyFill="1" applyBorder="1" applyAlignment="1"/>
    <xf numFmtId="4" fontId="22" fillId="0" borderId="0" xfId="0" applyNumberFormat="1" applyFont="1" applyBorder="1"/>
    <xf numFmtId="0" fontId="12" fillId="9" borderId="0" xfId="0" applyFont="1" applyFill="1" applyBorder="1" applyAlignment="1">
      <alignment horizontal="left" wrapText="1"/>
    </xf>
    <xf numFmtId="0" fontId="2" fillId="9" borderId="24" xfId="0" applyFont="1" applyFill="1" applyBorder="1" applyAlignment="1">
      <alignment vertical="top" wrapText="1"/>
    </xf>
    <xf numFmtId="0" fontId="2" fillId="9" borderId="4" xfId="0" applyFont="1" applyFill="1" applyBorder="1" applyAlignment="1">
      <alignment vertical="top" wrapText="1"/>
    </xf>
    <xf numFmtId="165" fontId="17" fillId="9" borderId="4" xfId="43" applyFont="1" applyFill="1" applyBorder="1" applyAlignment="1">
      <alignment horizontal="right" vertical="top" wrapText="1"/>
    </xf>
    <xf numFmtId="2" fontId="2" fillId="9" borderId="4" xfId="0" applyNumberFormat="1" applyFont="1" applyFill="1" applyBorder="1" applyAlignment="1">
      <alignment vertical="top" wrapText="1"/>
    </xf>
    <xf numFmtId="2" fontId="2" fillId="0" borderId="4" xfId="0" applyNumberFormat="1" applyFont="1" applyBorder="1" applyAlignment="1">
      <alignment horizontal="right" vertical="top" wrapText="1"/>
    </xf>
    <xf numFmtId="2" fontId="9" fillId="0" borderId="4" xfId="0" applyNumberFormat="1" applyFont="1" applyBorder="1" applyAlignment="1">
      <alignment vertical="top" wrapText="1"/>
    </xf>
    <xf numFmtId="2" fontId="9" fillId="9" borderId="4" xfId="0" applyNumberFormat="1" applyFont="1" applyFill="1" applyBorder="1" applyAlignment="1">
      <alignment horizontal="right" vertical="top" wrapText="1"/>
    </xf>
    <xf numFmtId="2" fontId="8" fillId="0" borderId="4" xfId="0" applyNumberFormat="1" applyFont="1" applyBorder="1" applyAlignment="1">
      <alignment horizontal="right" vertical="top" wrapText="1"/>
    </xf>
    <xf numFmtId="0" fontId="0" fillId="0" borderId="4" xfId="0" applyBorder="1" applyAlignment="1"/>
    <xf numFmtId="0" fontId="2" fillId="9" borderId="23" xfId="0" applyFont="1" applyFill="1" applyBorder="1" applyAlignment="1">
      <alignment vertical="top" wrapText="1"/>
    </xf>
    <xf numFmtId="0" fontId="2" fillId="9" borderId="8" xfId="0" applyFont="1" applyFill="1" applyBorder="1" applyAlignment="1">
      <alignment vertical="top" wrapText="1"/>
    </xf>
    <xf numFmtId="0" fontId="2" fillId="9" borderId="22" xfId="0" applyFont="1" applyFill="1" applyBorder="1" applyAlignment="1">
      <alignment vertical="top" wrapText="1"/>
    </xf>
    <xf numFmtId="0" fontId="17" fillId="9" borderId="6" xfId="0" applyFont="1" applyFill="1" applyBorder="1" applyAlignment="1">
      <alignment vertical="top" wrapText="1"/>
    </xf>
    <xf numFmtId="0" fontId="17" fillId="9" borderId="19" xfId="0" applyFont="1" applyFill="1" applyBorder="1" applyAlignment="1">
      <alignment vertical="top" wrapText="1"/>
    </xf>
    <xf numFmtId="165" fontId="17" fillId="9" borderId="6" xfId="43" applyFont="1" applyFill="1" applyBorder="1" applyAlignment="1">
      <alignment horizontal="right" vertical="top" wrapText="1"/>
    </xf>
    <xf numFmtId="165" fontId="17" fillId="9" borderId="19" xfId="43" applyFont="1" applyFill="1" applyBorder="1" applyAlignment="1">
      <alignment horizontal="right" vertical="top" wrapText="1"/>
    </xf>
    <xf numFmtId="165" fontId="17" fillId="9" borderId="6" xfId="43" applyFont="1" applyFill="1" applyBorder="1" applyAlignment="1">
      <alignment vertical="top" wrapText="1"/>
    </xf>
    <xf numFmtId="165" fontId="17" fillId="9" borderId="19" xfId="43" applyFont="1" applyFill="1" applyBorder="1" applyAlignment="1">
      <alignment vertical="top" wrapText="1"/>
    </xf>
    <xf numFmtId="165" fontId="17" fillId="0" borderId="6" xfId="43" applyFont="1" applyBorder="1" applyAlignment="1">
      <alignment horizontal="right" vertical="top" wrapText="1"/>
    </xf>
    <xf numFmtId="165" fontId="17" fillId="0" borderId="19" xfId="43" applyFont="1" applyBorder="1" applyAlignment="1">
      <alignment horizontal="right" vertical="top" wrapText="1"/>
    </xf>
    <xf numFmtId="165" fontId="17" fillId="0" borderId="3" xfId="43" applyFont="1" applyBorder="1" applyAlignment="1">
      <alignment horizontal="right" vertical="top" wrapText="1"/>
    </xf>
    <xf numFmtId="165" fontId="17" fillId="0" borderId="31" xfId="43" applyFont="1" applyBorder="1" applyAlignment="1">
      <alignment horizontal="right" vertical="top" wrapText="1"/>
    </xf>
    <xf numFmtId="165" fontId="17" fillId="9" borderId="3" xfId="43" applyFont="1" applyFill="1" applyBorder="1" applyAlignment="1">
      <alignment vertical="top" wrapText="1"/>
    </xf>
    <xf numFmtId="165" fontId="17" fillId="9" borderId="31" xfId="43" applyFont="1" applyFill="1" applyBorder="1" applyAlignment="1">
      <alignment vertical="top" wrapText="1"/>
    </xf>
    <xf numFmtId="4" fontId="13" fillId="10" borderId="19" xfId="0" applyNumberFormat="1" applyFont="1" applyFill="1" applyBorder="1" applyAlignment="1">
      <alignment horizontal="center" vertical="center" wrapText="1"/>
    </xf>
    <xf numFmtId="4" fontId="13" fillId="10" borderId="19" xfId="31" applyNumberFormat="1" applyFont="1" applyFill="1" applyBorder="1" applyAlignment="1">
      <alignment horizontal="left" vertical="center" wrapText="1"/>
    </xf>
    <xf numFmtId="165" fontId="10" fillId="9" borderId="3" xfId="43" applyFont="1" applyFill="1" applyBorder="1" applyAlignment="1">
      <alignment vertical="top" wrapText="1"/>
    </xf>
    <xf numFmtId="165" fontId="10" fillId="9" borderId="31" xfId="43" applyFont="1" applyFill="1" applyBorder="1" applyAlignment="1">
      <alignment vertical="top" wrapText="1"/>
    </xf>
    <xf numFmtId="165" fontId="17" fillId="9" borderId="1" xfId="43" applyFont="1" applyFill="1" applyBorder="1" applyAlignment="1">
      <alignment horizontal="right" vertical="top" wrapText="1"/>
    </xf>
    <xf numFmtId="0" fontId="17" fillId="9" borderId="4" xfId="0" applyFont="1" applyFill="1" applyBorder="1" applyAlignment="1">
      <alignment vertical="top" wrapText="1"/>
    </xf>
    <xf numFmtId="165" fontId="17" fillId="9" borderId="4" xfId="43" applyFont="1" applyFill="1" applyBorder="1" applyAlignment="1">
      <alignment vertical="top" wrapText="1"/>
    </xf>
    <xf numFmtId="165" fontId="17" fillId="0" borderId="4" xfId="43" applyFont="1" applyBorder="1" applyAlignment="1">
      <alignment horizontal="right" vertical="top" wrapText="1"/>
    </xf>
    <xf numFmtId="0" fontId="17" fillId="9" borderId="4" xfId="0" applyFont="1" applyFill="1" applyBorder="1" applyAlignment="1">
      <alignment horizontal="center" vertical="top" wrapText="1"/>
    </xf>
    <xf numFmtId="165" fontId="10" fillId="9" borderId="4" xfId="43" applyFont="1" applyFill="1" applyBorder="1" applyAlignment="1">
      <alignment vertical="top" wrapText="1"/>
    </xf>
    <xf numFmtId="0" fontId="17" fillId="9" borderId="1" xfId="0" applyFont="1" applyFill="1" applyBorder="1" applyAlignment="1">
      <alignment horizontal="center" vertical="top" wrapText="1"/>
    </xf>
    <xf numFmtId="0" fontId="17" fillId="0" borderId="4" xfId="0" applyFont="1" applyBorder="1" applyAlignment="1">
      <alignment horizontal="left" vertical="top" wrapText="1"/>
    </xf>
    <xf numFmtId="0" fontId="18" fillId="9" borderId="4" xfId="0" applyFont="1" applyFill="1" applyBorder="1" applyAlignment="1">
      <alignment horizontal="left" vertical="top" wrapText="1"/>
    </xf>
    <xf numFmtId="0" fontId="10" fillId="9" borderId="4" xfId="0" applyFont="1" applyFill="1" applyBorder="1" applyAlignment="1">
      <alignment vertical="top" wrapText="1"/>
    </xf>
    <xf numFmtId="0" fontId="2" fillId="9" borderId="24" xfId="0" applyFont="1" applyFill="1" applyBorder="1" applyAlignment="1">
      <alignment horizontal="center" vertical="top" wrapText="1"/>
    </xf>
    <xf numFmtId="0" fontId="9" fillId="0" borderId="4" xfId="0" applyFont="1" applyBorder="1" applyAlignment="1">
      <alignment horizontal="center" vertical="top" wrapText="1"/>
    </xf>
    <xf numFmtId="0" fontId="17" fillId="0" borderId="4" xfId="0" applyFont="1" applyBorder="1" applyAlignment="1">
      <alignment horizontal="center" vertical="top" wrapText="1"/>
    </xf>
    <xf numFmtId="0" fontId="18" fillId="0" borderId="4" xfId="0" applyFont="1" applyBorder="1" applyAlignment="1">
      <alignment horizontal="center" vertical="top" wrapText="1"/>
    </xf>
    <xf numFmtId="0" fontId="18" fillId="9" borderId="4" xfId="0" applyFont="1" applyFill="1" applyBorder="1" applyAlignment="1">
      <alignment horizontal="center" vertical="top" wrapText="1"/>
    </xf>
    <xf numFmtId="0" fontId="2" fillId="9" borderId="33" xfId="0" applyFont="1" applyFill="1" applyBorder="1" applyAlignment="1">
      <alignment vertical="top" wrapText="1"/>
    </xf>
    <xf numFmtId="0" fontId="2" fillId="9" borderId="34" xfId="0" applyFont="1" applyFill="1" applyBorder="1" applyAlignment="1">
      <alignment horizontal="center" vertical="top" wrapText="1"/>
    </xf>
    <xf numFmtId="0" fontId="2" fillId="9" borderId="34" xfId="0" applyFont="1" applyFill="1" applyBorder="1" applyAlignment="1">
      <alignment vertical="top" wrapText="1"/>
    </xf>
    <xf numFmtId="0" fontId="17" fillId="9" borderId="3" xfId="0" applyFont="1" applyFill="1" applyBorder="1" applyAlignment="1">
      <alignment vertical="top" wrapText="1"/>
    </xf>
    <xf numFmtId="0" fontId="17" fillId="9" borderId="3" xfId="0" applyFont="1" applyFill="1" applyBorder="1" applyAlignment="1">
      <alignment horizontal="left" vertical="top" wrapText="1"/>
    </xf>
    <xf numFmtId="0" fontId="17" fillId="0" borderId="3" xfId="0" applyFont="1" applyBorder="1" applyAlignment="1">
      <alignment horizontal="right" vertical="top" wrapText="1"/>
    </xf>
    <xf numFmtId="0" fontId="10" fillId="9" borderId="3" xfId="0" applyFont="1" applyFill="1" applyBorder="1" applyAlignment="1">
      <alignment vertical="top" wrapText="1"/>
    </xf>
    <xf numFmtId="0" fontId="13" fillId="10" borderId="35" xfId="0" applyFont="1" applyFill="1" applyBorder="1" applyAlignment="1">
      <alignment horizontal="center" vertical="center" wrapText="1"/>
    </xf>
    <xf numFmtId="0" fontId="13" fillId="10" borderId="6" xfId="0" applyFont="1" applyFill="1" applyBorder="1" applyAlignment="1">
      <alignment horizontal="center" vertical="center" wrapText="1"/>
    </xf>
    <xf numFmtId="0" fontId="13" fillId="10" borderId="7" xfId="0" applyFont="1" applyFill="1" applyBorder="1" applyAlignment="1">
      <alignment horizontal="center" vertical="center" wrapText="1"/>
    </xf>
    <xf numFmtId="165" fontId="17" fillId="9" borderId="5" xfId="43" applyFont="1" applyFill="1" applyBorder="1" applyAlignment="1">
      <alignment horizontal="right" vertical="top" wrapText="1"/>
    </xf>
    <xf numFmtId="4" fontId="13" fillId="10" borderId="1" xfId="31" applyNumberFormat="1" applyFont="1" applyFill="1" applyBorder="1" applyAlignment="1">
      <alignment horizontal="left" vertical="center" wrapText="1"/>
    </xf>
    <xf numFmtId="4" fontId="13" fillId="10" borderId="7" xfId="0" applyNumberFormat="1" applyFont="1" applyFill="1" applyBorder="1" applyAlignment="1">
      <alignment horizontal="center" vertical="center" wrapText="1"/>
    </xf>
    <xf numFmtId="4" fontId="13" fillId="10" borderId="7" xfId="31" applyNumberFormat="1" applyFont="1" applyFill="1" applyBorder="1" applyAlignment="1">
      <alignment horizontal="left" vertical="center" wrapText="1"/>
    </xf>
    <xf numFmtId="0" fontId="13" fillId="10" borderId="19" xfId="0" applyFont="1" applyFill="1" applyBorder="1" applyAlignment="1">
      <alignment horizontal="left" vertical="center" wrapText="1"/>
    </xf>
    <xf numFmtId="0" fontId="11" fillId="13" borderId="30" xfId="0" applyFont="1" applyFill="1" applyBorder="1" applyAlignment="1">
      <alignment horizontal="center" vertical="center" wrapText="1"/>
    </xf>
    <xf numFmtId="0" fontId="11" fillId="13" borderId="29" xfId="0" applyFont="1" applyFill="1" applyBorder="1" applyAlignment="1">
      <alignment horizontal="center" vertical="center" wrapText="1"/>
    </xf>
    <xf numFmtId="0" fontId="14" fillId="12" borderId="29" xfId="0" applyFont="1" applyFill="1" applyBorder="1" applyAlignment="1">
      <alignment wrapText="1"/>
    </xf>
    <xf numFmtId="0" fontId="15" fillId="14" borderId="3" xfId="0" applyFont="1" applyFill="1" applyBorder="1" applyAlignment="1">
      <alignment horizontal="left" vertical="top" wrapText="1"/>
    </xf>
    <xf numFmtId="0" fontId="12" fillId="14" borderId="4" xfId="0" applyFont="1" applyFill="1" applyBorder="1" applyAlignment="1">
      <alignment horizontal="center" vertical="top" wrapText="1"/>
    </xf>
    <xf numFmtId="0" fontId="15" fillId="14" borderId="4" xfId="0" applyFont="1" applyFill="1" applyBorder="1" applyAlignment="1">
      <alignment vertical="top" wrapText="1"/>
    </xf>
    <xf numFmtId="0" fontId="15" fillId="14" borderId="1" xfId="0" applyFont="1" applyFill="1" applyBorder="1" applyAlignment="1">
      <alignment vertical="top" wrapText="1"/>
    </xf>
    <xf numFmtId="0" fontId="15" fillId="14" borderId="6" xfId="0" applyFont="1" applyFill="1" applyBorder="1" applyAlignment="1">
      <alignment vertical="top" wrapText="1"/>
    </xf>
    <xf numFmtId="0" fontId="15" fillId="14" borderId="7" xfId="0" applyFont="1" applyFill="1" applyBorder="1" applyAlignment="1">
      <alignment vertical="top" wrapText="1"/>
    </xf>
    <xf numFmtId="0" fontId="15" fillId="14" borderId="19" xfId="0" applyFont="1" applyFill="1" applyBorder="1" applyAlignment="1">
      <alignment vertical="top" wrapText="1"/>
    </xf>
    <xf numFmtId="0" fontId="12" fillId="14" borderId="4" xfId="0" applyFont="1" applyFill="1" applyBorder="1" applyAlignment="1">
      <alignment vertical="top" wrapText="1"/>
    </xf>
    <xf numFmtId="165" fontId="12" fillId="14" borderId="4" xfId="0" applyNumberFormat="1" applyFont="1" applyFill="1" applyBorder="1" applyAlignment="1">
      <alignment vertical="top" wrapText="1"/>
    </xf>
    <xf numFmtId="0" fontId="0" fillId="0" borderId="0" xfId="0" applyBorder="1" applyAlignment="1"/>
    <xf numFmtId="0" fontId="20" fillId="0" borderId="0" xfId="0" applyFont="1" applyAlignment="1">
      <alignment horizontal="center"/>
    </xf>
    <xf numFmtId="0" fontId="20" fillId="0" borderId="0" xfId="0" applyFont="1" applyAlignment="1">
      <alignment wrapText="1"/>
    </xf>
    <xf numFmtId="4" fontId="7" fillId="11" borderId="36" xfId="0" applyNumberFormat="1" applyFont="1" applyFill="1" applyBorder="1" applyAlignment="1">
      <alignment horizontal="center"/>
    </xf>
    <xf numFmtId="0" fontId="27" fillId="0" borderId="0" xfId="0" applyFont="1"/>
    <xf numFmtId="4" fontId="27" fillId="0" borderId="0" xfId="0" applyNumberFormat="1" applyFont="1"/>
    <xf numFmtId="0" fontId="27" fillId="0" borderId="0" xfId="0" applyFont="1" applyAlignment="1">
      <alignment horizontal="center"/>
    </xf>
    <xf numFmtId="0" fontId="27" fillId="0" borderId="21" xfId="0" applyFont="1" applyBorder="1"/>
    <xf numFmtId="4" fontId="5" fillId="9" borderId="17" xfId="0" applyNumberFormat="1" applyFont="1" applyFill="1" applyBorder="1" applyAlignment="1">
      <alignment horizontal="left"/>
    </xf>
    <xf numFmtId="0" fontId="2" fillId="0" borderId="0" xfId="0" applyFont="1" applyAlignment="1"/>
    <xf numFmtId="0" fontId="17" fillId="0" borderId="67" xfId="0" applyFont="1" applyBorder="1" applyAlignment="1">
      <alignment horizontal="center" vertical="top" wrapText="1"/>
    </xf>
    <xf numFmtId="2" fontId="2" fillId="0" borderId="51" xfId="0" applyNumberFormat="1" applyFont="1" applyBorder="1" applyAlignment="1">
      <alignment horizontal="right" vertical="top" wrapText="1"/>
    </xf>
    <xf numFmtId="0" fontId="17" fillId="9" borderId="67" xfId="0" applyFont="1" applyFill="1" applyBorder="1" applyAlignment="1">
      <alignment horizontal="center" vertical="top" wrapText="1"/>
    </xf>
    <xf numFmtId="165" fontId="17" fillId="9" borderId="51" xfId="43" applyFont="1" applyFill="1" applyBorder="1" applyAlignment="1">
      <alignment horizontal="right" vertical="top" wrapText="1"/>
    </xf>
    <xf numFmtId="0" fontId="2" fillId="9" borderId="0" xfId="0" applyFont="1" applyFill="1" applyAlignment="1"/>
    <xf numFmtId="0" fontId="17" fillId="10" borderId="3" xfId="0" applyFont="1" applyFill="1" applyBorder="1" applyAlignment="1">
      <alignment horizontal="center" vertical="center" wrapText="1"/>
    </xf>
    <xf numFmtId="0" fontId="17" fillId="10" borderId="4" xfId="0" applyFont="1" applyFill="1" applyBorder="1" applyAlignment="1">
      <alignment horizontal="center" vertical="center" wrapText="1"/>
    </xf>
    <xf numFmtId="0" fontId="17" fillId="10" borderId="1" xfId="0" applyFont="1" applyFill="1" applyBorder="1" applyAlignment="1">
      <alignment horizontal="center" vertical="center" wrapText="1"/>
    </xf>
    <xf numFmtId="0" fontId="17" fillId="0" borderId="4" xfId="0" applyFont="1" applyBorder="1" applyAlignment="1">
      <alignment horizontal="left" vertical="center" wrapText="1"/>
    </xf>
    <xf numFmtId="0" fontId="17" fillId="0" borderId="1" xfId="0" applyFont="1" applyBorder="1" applyAlignment="1">
      <alignment horizontal="center" vertical="center" wrapText="1"/>
    </xf>
    <xf numFmtId="0" fontId="17" fillId="10" borderId="4" xfId="0" applyFont="1" applyFill="1" applyBorder="1" applyAlignment="1">
      <alignment horizontal="right" vertical="center" wrapText="1"/>
    </xf>
    <xf numFmtId="0" fontId="17" fillId="9" borderId="0" xfId="0" applyFont="1" applyFill="1" applyAlignment="1">
      <alignment horizontal="left" vertical="center" wrapText="1"/>
    </xf>
    <xf numFmtId="2" fontId="2" fillId="9" borderId="51" xfId="0" applyNumberFormat="1" applyFont="1" applyFill="1" applyBorder="1" applyAlignment="1">
      <alignment vertical="top" wrapText="1"/>
    </xf>
    <xf numFmtId="4" fontId="17" fillId="10" borderId="1" xfId="0" applyNumberFormat="1" applyFont="1" applyFill="1" applyBorder="1" applyAlignment="1">
      <alignment horizontal="right" vertical="center" wrapText="1"/>
    </xf>
    <xf numFmtId="4" fontId="17" fillId="10" borderId="5" xfId="31" applyNumberFormat="1" applyFont="1" applyFill="1" applyBorder="1" applyAlignment="1">
      <alignment horizontal="left" vertical="center" wrapText="1"/>
    </xf>
    <xf numFmtId="4" fontId="17" fillId="10" borderId="35" xfId="31" applyNumberFormat="1" applyFont="1" applyFill="1" applyBorder="1" applyAlignment="1">
      <alignment horizontal="left" vertical="center" wrapText="1"/>
    </xf>
    <xf numFmtId="4" fontId="17" fillId="10" borderId="1" xfId="31" applyNumberFormat="1" applyFont="1" applyFill="1" applyBorder="1" applyAlignment="1">
      <alignment horizontal="left" vertical="center" wrapText="1"/>
    </xf>
    <xf numFmtId="4" fontId="17" fillId="10" borderId="6" xfId="31" applyNumberFormat="1" applyFont="1" applyFill="1" applyBorder="1" applyAlignment="1">
      <alignment horizontal="left" vertical="center" wrapText="1"/>
    </xf>
    <xf numFmtId="4" fontId="17" fillId="10" borderId="7" xfId="31" applyNumberFormat="1" applyFont="1" applyFill="1" applyBorder="1" applyAlignment="1">
      <alignment horizontal="left" vertical="center" wrapText="1"/>
    </xf>
    <xf numFmtId="4" fontId="17" fillId="10" borderId="19" xfId="31" applyNumberFormat="1" applyFont="1" applyFill="1" applyBorder="1" applyAlignment="1">
      <alignment horizontal="left" vertical="center" wrapText="1"/>
    </xf>
    <xf numFmtId="4" fontId="17" fillId="10" borderId="4" xfId="31" applyNumberFormat="1" applyFont="1" applyFill="1" applyBorder="1" applyAlignment="1">
      <alignment horizontal="left" vertical="center" wrapText="1"/>
    </xf>
    <xf numFmtId="0" fontId="17" fillId="0" borderId="0" xfId="0" applyFont="1" applyFill="1" applyAlignment="1">
      <alignment horizontal="left" vertical="center" wrapText="1"/>
    </xf>
    <xf numFmtId="0" fontId="17" fillId="10" borderId="4" xfId="0" applyFont="1" applyFill="1" applyBorder="1" applyAlignment="1">
      <alignment horizontal="left" vertical="center" wrapText="1"/>
    </xf>
    <xf numFmtId="0" fontId="17" fillId="10" borderId="1" xfId="0" applyFont="1" applyFill="1" applyBorder="1" applyAlignment="1">
      <alignment horizontal="right" vertical="center" wrapText="1"/>
    </xf>
    <xf numFmtId="4" fontId="17" fillId="10" borderId="1" xfId="0" applyNumberFormat="1" applyFont="1" applyFill="1" applyBorder="1" applyAlignment="1">
      <alignment horizontal="left" vertical="center" wrapText="1"/>
    </xf>
    <xf numFmtId="4" fontId="17" fillId="10" borderId="4" xfId="0" applyNumberFormat="1" applyFont="1" applyFill="1" applyBorder="1" applyAlignment="1">
      <alignment horizontal="center" vertical="center" wrapText="1"/>
    </xf>
    <xf numFmtId="4" fontId="17" fillId="10" borderId="4" xfId="0" applyNumberFormat="1" applyFont="1" applyFill="1" applyBorder="1" applyAlignment="1">
      <alignment horizontal="right" vertical="center" wrapText="1"/>
    </xf>
    <xf numFmtId="4" fontId="17" fillId="10" borderId="5" xfId="31" applyNumberFormat="1" applyFont="1" applyFill="1" applyBorder="1" applyAlignment="1">
      <alignment horizontal="right" vertical="center" wrapText="1"/>
    </xf>
    <xf numFmtId="4" fontId="17" fillId="10" borderId="35" xfId="31" applyNumberFormat="1" applyFont="1" applyFill="1" applyBorder="1" applyAlignment="1">
      <alignment horizontal="right" vertical="center" wrapText="1"/>
    </xf>
    <xf numFmtId="0" fontId="17" fillId="10" borderId="6" xfId="0" applyFont="1" applyFill="1" applyBorder="1" applyAlignment="1">
      <alignment horizontal="center" vertical="center" wrapText="1"/>
    </xf>
    <xf numFmtId="0" fontId="17" fillId="10" borderId="7" xfId="0" applyFont="1" applyFill="1" applyBorder="1" applyAlignment="1">
      <alignment horizontal="center" vertical="center" wrapText="1"/>
    </xf>
    <xf numFmtId="0" fontId="17" fillId="10" borderId="19" xfId="0" applyFont="1" applyFill="1" applyBorder="1" applyAlignment="1">
      <alignment horizontal="center" vertical="center" wrapText="1"/>
    </xf>
    <xf numFmtId="0" fontId="17" fillId="10" borderId="5" xfId="0" applyFont="1" applyFill="1" applyBorder="1" applyAlignment="1">
      <alignment horizontal="right" vertical="center" wrapText="1"/>
    </xf>
    <xf numFmtId="0" fontId="17" fillId="10" borderId="35" xfId="0" applyFont="1" applyFill="1" applyBorder="1" applyAlignment="1">
      <alignment horizontal="right" vertical="center" wrapText="1"/>
    </xf>
    <xf numFmtId="0" fontId="17" fillId="10" borderId="3" xfId="0" applyFont="1" applyFill="1" applyBorder="1" applyAlignment="1">
      <alignment horizontal="left" vertical="center" wrapText="1"/>
    </xf>
    <xf numFmtId="0" fontId="17" fillId="10" borderId="1" xfId="0" applyFont="1" applyFill="1" applyBorder="1" applyAlignment="1">
      <alignment horizontal="left" vertical="center" wrapText="1"/>
    </xf>
    <xf numFmtId="4" fontId="17" fillId="10" borderId="3" xfId="0" applyNumberFormat="1" applyFont="1" applyFill="1" applyBorder="1" applyAlignment="1">
      <alignment horizontal="right" vertical="center" wrapText="1"/>
    </xf>
    <xf numFmtId="4" fontId="17" fillId="10" borderId="31" xfId="31" applyNumberFormat="1" applyFont="1" applyFill="1" applyBorder="1" applyAlignment="1">
      <alignment horizontal="left" vertical="center" wrapText="1"/>
    </xf>
    <xf numFmtId="2" fontId="9" fillId="0" borderId="51" xfId="0" applyNumberFormat="1" applyFont="1" applyBorder="1" applyAlignment="1">
      <alignment vertical="top" wrapText="1"/>
    </xf>
    <xf numFmtId="0" fontId="0" fillId="14" borderId="65" xfId="0" applyFill="1" applyBorder="1" applyAlignment="1">
      <alignment horizontal="center"/>
    </xf>
    <xf numFmtId="0" fontId="0" fillId="14" borderId="66" xfId="0" applyFill="1" applyBorder="1" applyAlignment="1">
      <alignment wrapText="1"/>
    </xf>
    <xf numFmtId="0" fontId="0" fillId="14" borderId="66" xfId="0" applyFill="1" applyBorder="1" applyAlignment="1">
      <alignment horizontal="center" wrapText="1"/>
    </xf>
    <xf numFmtId="4" fontId="0" fillId="14" borderId="30" xfId="0" applyNumberFormat="1" applyFill="1" applyBorder="1"/>
    <xf numFmtId="0" fontId="0" fillId="14" borderId="30" xfId="0" applyFill="1" applyBorder="1"/>
    <xf numFmtId="0" fontId="25" fillId="9" borderId="0" xfId="0" applyFont="1" applyFill="1" applyBorder="1" applyAlignment="1">
      <alignment horizontal="center"/>
    </xf>
    <xf numFmtId="0" fontId="29" fillId="0" borderId="29" xfId="0" applyFont="1" applyBorder="1" applyAlignment="1">
      <alignment horizontal="center"/>
    </xf>
    <xf numFmtId="0" fontId="29" fillId="14" borderId="66" xfId="0" applyFont="1" applyFill="1" applyBorder="1" applyAlignment="1">
      <alignment horizontal="center"/>
    </xf>
    <xf numFmtId="0" fontId="29" fillId="0" borderId="20" xfId="0" applyFont="1" applyBorder="1"/>
    <xf numFmtId="0" fontId="29" fillId="0" borderId="0" xfId="0" applyFont="1"/>
    <xf numFmtId="0" fontId="26" fillId="9" borderId="0" xfId="0" applyFont="1" applyFill="1" applyBorder="1" applyAlignment="1">
      <alignment horizontal="right" wrapText="1"/>
    </xf>
    <xf numFmtId="0" fontId="26" fillId="9" borderId="0" xfId="0" applyNumberFormat="1" applyFont="1" applyFill="1" applyBorder="1" applyAlignment="1">
      <alignment horizontal="right" wrapText="1"/>
    </xf>
    <xf numFmtId="0" fontId="0" fillId="14" borderId="63" xfId="0" applyFill="1" applyBorder="1" applyAlignment="1">
      <alignment horizontal="center" wrapText="1"/>
    </xf>
    <xf numFmtId="10" fontId="0" fillId="14" borderId="30" xfId="0" applyNumberFormat="1" applyFill="1" applyBorder="1"/>
    <xf numFmtId="0" fontId="27" fillId="0" borderId="37" xfId="0" applyFont="1" applyBorder="1"/>
    <xf numFmtId="2" fontId="2" fillId="0" borderId="3" xfId="0" applyNumberFormat="1" applyFont="1" applyBorder="1" applyAlignment="1">
      <alignment horizontal="right" vertical="top" wrapText="1"/>
    </xf>
    <xf numFmtId="0" fontId="17" fillId="41" borderId="3" xfId="0" applyFont="1" applyFill="1" applyBorder="1" applyAlignment="1">
      <alignment horizontal="center" vertical="top" wrapText="1"/>
    </xf>
    <xf numFmtId="0" fontId="17" fillId="41" borderId="4" xfId="0" applyFont="1" applyFill="1" applyBorder="1" applyAlignment="1">
      <alignment horizontal="center" vertical="top" wrapText="1"/>
    </xf>
    <xf numFmtId="0" fontId="17" fillId="41" borderId="1" xfId="0" applyFont="1" applyFill="1" applyBorder="1" applyAlignment="1">
      <alignment horizontal="center" vertical="top" wrapText="1"/>
    </xf>
    <xf numFmtId="0" fontId="17" fillId="41" borderId="4" xfId="0" applyFont="1" applyFill="1" applyBorder="1" applyAlignment="1">
      <alignment horizontal="justify" vertical="top" wrapText="1"/>
    </xf>
    <xf numFmtId="165" fontId="17" fillId="41" borderId="4" xfId="43" applyFont="1" applyFill="1" applyBorder="1" applyAlignment="1">
      <alignment horizontal="right" vertical="top" wrapText="1"/>
    </xf>
    <xf numFmtId="165" fontId="17" fillId="41" borderId="1" xfId="43" applyFont="1" applyFill="1" applyBorder="1" applyAlignment="1">
      <alignment horizontal="right" vertical="top" wrapText="1"/>
    </xf>
    <xf numFmtId="165" fontId="17" fillId="41" borderId="6" xfId="43" applyFont="1" applyFill="1" applyBorder="1" applyAlignment="1">
      <alignment horizontal="right" vertical="top" wrapText="1"/>
    </xf>
    <xf numFmtId="165" fontId="17" fillId="41" borderId="7" xfId="43" applyFont="1" applyFill="1" applyBorder="1" applyAlignment="1">
      <alignment horizontal="right" vertical="top" wrapText="1"/>
    </xf>
    <xf numFmtId="165" fontId="17" fillId="41" borderId="19" xfId="43" applyFont="1" applyFill="1" applyBorder="1" applyAlignment="1">
      <alignment horizontal="right" vertical="top" wrapText="1"/>
    </xf>
    <xf numFmtId="0" fontId="18" fillId="41" borderId="4" xfId="0" applyFont="1" applyFill="1" applyBorder="1" applyAlignment="1">
      <alignment horizontal="justify" vertical="top" wrapText="1"/>
    </xf>
    <xf numFmtId="0" fontId="0" fillId="0" borderId="32" xfId="0" applyBorder="1" applyAlignment="1">
      <alignment wrapText="1"/>
    </xf>
    <xf numFmtId="0" fontId="29" fillId="0" borderId="28" xfId="0" applyFont="1" applyBorder="1"/>
    <xf numFmtId="0" fontId="29" fillId="14" borderId="65" xfId="0" applyFont="1" applyFill="1" applyBorder="1" applyAlignment="1">
      <alignment horizontal="center"/>
    </xf>
    <xf numFmtId="0" fontId="29" fillId="0" borderId="30" xfId="0" applyFont="1" applyBorder="1" applyAlignment="1">
      <alignment horizontal="center"/>
    </xf>
    <xf numFmtId="0" fontId="0" fillId="0" borderId="30" xfId="0" applyBorder="1" applyAlignment="1">
      <alignment horizontal="center" wrapText="1"/>
    </xf>
    <xf numFmtId="0" fontId="27" fillId="0" borderId="0" xfId="0" applyFont="1" applyAlignment="1"/>
    <xf numFmtId="0" fontId="27" fillId="42" borderId="0" xfId="0" applyFont="1" applyFill="1" applyBorder="1" applyAlignment="1"/>
    <xf numFmtId="2" fontId="28" fillId="0" borderId="45" xfId="0" applyNumberFormat="1" applyFont="1" applyBorder="1"/>
    <xf numFmtId="2" fontId="28" fillId="0" borderId="56" xfId="0" applyNumberFormat="1" applyFont="1" applyBorder="1"/>
    <xf numFmtId="2" fontId="28" fillId="0" borderId="7" xfId="0" applyNumberFormat="1" applyFont="1" applyBorder="1"/>
    <xf numFmtId="2" fontId="28" fillId="0" borderId="19" xfId="0" applyNumberFormat="1" applyFont="1" applyBorder="1"/>
    <xf numFmtId="0" fontId="28" fillId="0" borderId="24" xfId="0" applyFont="1" applyBorder="1" applyAlignment="1">
      <alignment horizontal="center"/>
    </xf>
    <xf numFmtId="0" fontId="28" fillId="0" borderId="4" xfId="0" applyFont="1" applyBorder="1" applyAlignment="1">
      <alignment horizontal="center"/>
    </xf>
    <xf numFmtId="0" fontId="28" fillId="0" borderId="25" xfId="0" applyFont="1" applyBorder="1" applyAlignment="1">
      <alignment horizontal="center"/>
    </xf>
    <xf numFmtId="0" fontId="28" fillId="0" borderId="38" xfId="0" applyFont="1" applyBorder="1"/>
    <xf numFmtId="0" fontId="28" fillId="0" borderId="8" xfId="0" applyFont="1" applyBorder="1" applyAlignment="1">
      <alignment horizontal="center"/>
    </xf>
    <xf numFmtId="0" fontId="28" fillId="0" borderId="22" xfId="0" applyFont="1" applyBorder="1" applyAlignment="1">
      <alignment horizontal="center"/>
    </xf>
    <xf numFmtId="0" fontId="28" fillId="0" borderId="0" xfId="0" applyFont="1" applyAlignment="1">
      <alignment horizontal="center"/>
    </xf>
    <xf numFmtId="4" fontId="28" fillId="9" borderId="60" xfId="0" applyNumberFormat="1" applyFont="1" applyFill="1" applyBorder="1" applyAlignment="1">
      <alignment horizontal="center" vertical="center" wrapText="1"/>
    </xf>
    <xf numFmtId="0" fontId="28" fillId="9" borderId="70" xfId="0" applyFont="1" applyFill="1" applyBorder="1" applyAlignment="1">
      <alignment horizontal="center" vertical="center" wrapText="1"/>
    </xf>
    <xf numFmtId="0" fontId="28" fillId="9" borderId="71" xfId="0" applyFont="1" applyFill="1" applyBorder="1" applyAlignment="1">
      <alignment horizontal="center" vertical="center" wrapText="1"/>
    </xf>
    <xf numFmtId="0" fontId="28" fillId="0" borderId="0" xfId="0" applyFont="1"/>
    <xf numFmtId="0" fontId="28" fillId="9" borderId="55" xfId="0" applyFont="1" applyFill="1" applyBorder="1"/>
    <xf numFmtId="0" fontId="28" fillId="9" borderId="6" xfId="0" applyFont="1" applyFill="1" applyBorder="1"/>
    <xf numFmtId="0" fontId="28" fillId="9" borderId="6" xfId="0" applyFont="1" applyFill="1" applyBorder="1" applyAlignment="1">
      <alignment wrapText="1"/>
    </xf>
    <xf numFmtId="0" fontId="28" fillId="9" borderId="23" xfId="0" applyFont="1" applyFill="1" applyBorder="1"/>
    <xf numFmtId="0" fontId="28" fillId="9" borderId="20" xfId="0" applyFont="1" applyFill="1" applyBorder="1"/>
    <xf numFmtId="0" fontId="28" fillId="9" borderId="60" xfId="0" applyFont="1" applyFill="1" applyBorder="1"/>
    <xf numFmtId="4" fontId="28" fillId="9" borderId="97" xfId="0" applyNumberFormat="1" applyFont="1" applyFill="1" applyBorder="1" applyAlignment="1">
      <alignment horizontal="center" vertical="center" wrapText="1"/>
    </xf>
    <xf numFmtId="0" fontId="28" fillId="0" borderId="0" xfId="0" applyFont="1" applyBorder="1" applyAlignment="1">
      <alignment horizontal="center"/>
    </xf>
    <xf numFmtId="0" fontId="28" fillId="0" borderId="60" xfId="0" applyFont="1" applyBorder="1"/>
    <xf numFmtId="0" fontId="28" fillId="0" borderId="70" xfId="0" applyFont="1" applyBorder="1" applyAlignment="1">
      <alignment horizontal="center"/>
    </xf>
    <xf numFmtId="0" fontId="28" fillId="0" borderId="71" xfId="0" applyFont="1" applyBorder="1" applyAlignment="1">
      <alignment horizontal="center"/>
    </xf>
    <xf numFmtId="0" fontId="53" fillId="0" borderId="0" xfId="0" applyFont="1" applyAlignment="1"/>
    <xf numFmtId="0" fontId="54" fillId="0" borderId="3" xfId="0" applyFont="1" applyBorder="1" applyAlignment="1">
      <alignment horizontal="center" vertical="center"/>
    </xf>
    <xf numFmtId="0" fontId="54" fillId="0" borderId="4" xfId="0" applyFont="1" applyBorder="1" applyAlignment="1">
      <alignment vertical="center" wrapText="1"/>
    </xf>
    <xf numFmtId="4" fontId="54" fillId="0" borderId="1" xfId="0" applyNumberFormat="1" applyFont="1" applyBorder="1" applyAlignment="1">
      <alignment horizontal="right" vertical="center"/>
    </xf>
    <xf numFmtId="10" fontId="54" fillId="0" borderId="4" xfId="0" applyNumberFormat="1" applyFont="1" applyBorder="1" applyAlignment="1">
      <alignment vertical="center"/>
    </xf>
    <xf numFmtId="10" fontId="23" fillId="0" borderId="6" xfId="0" applyNumberFormat="1" applyFont="1" applyBorder="1"/>
    <xf numFmtId="10" fontId="23" fillId="0" borderId="19" xfId="0" applyNumberFormat="1" applyFont="1" applyBorder="1"/>
    <xf numFmtId="10" fontId="23" fillId="0" borderId="5" xfId="0" applyNumberFormat="1" applyFont="1" applyBorder="1"/>
    <xf numFmtId="10" fontId="23" fillId="0" borderId="57" xfId="0" applyNumberFormat="1" applyFont="1" applyBorder="1"/>
    <xf numFmtId="10" fontId="23" fillId="0" borderId="75" xfId="0" applyNumberFormat="1" applyFont="1" applyBorder="1"/>
    <xf numFmtId="10" fontId="23" fillId="0" borderId="20" xfId="0" applyNumberFormat="1" applyFont="1" applyBorder="1"/>
    <xf numFmtId="4" fontId="21" fillId="0" borderId="19" xfId="0" applyNumberFormat="1" applyFont="1" applyBorder="1"/>
    <xf numFmtId="0" fontId="47" fillId="0" borderId="0" xfId="0" applyFont="1"/>
    <xf numFmtId="4" fontId="47" fillId="0" borderId="6" xfId="0" applyNumberFormat="1" applyFont="1" applyBorder="1"/>
    <xf numFmtId="4" fontId="21" fillId="0" borderId="35" xfId="0" applyNumberFormat="1" applyFont="1" applyBorder="1"/>
    <xf numFmtId="4" fontId="21" fillId="0" borderId="59" xfId="0" applyNumberFormat="1" applyFont="1" applyBorder="1"/>
    <xf numFmtId="4" fontId="21" fillId="0" borderId="73" xfId="0" applyNumberFormat="1" applyFont="1" applyBorder="1"/>
    <xf numFmtId="4" fontId="21" fillId="0" borderId="21" xfId="0" applyNumberFormat="1" applyFont="1" applyBorder="1"/>
    <xf numFmtId="0" fontId="47" fillId="0" borderId="12" xfId="0" applyFont="1" applyBorder="1" applyAlignment="1">
      <alignment horizontal="center"/>
    </xf>
    <xf numFmtId="0" fontId="47" fillId="0" borderId="12" xfId="0" applyFont="1" applyBorder="1" applyAlignment="1">
      <alignment wrapText="1"/>
    </xf>
    <xf numFmtId="0" fontId="21" fillId="0" borderId="12" xfId="0" applyFont="1" applyBorder="1"/>
    <xf numFmtId="0" fontId="21" fillId="0" borderId="13" xfId="0" applyFont="1" applyBorder="1"/>
    <xf numFmtId="0" fontId="21" fillId="0" borderId="36" xfId="0" applyFont="1" applyBorder="1"/>
    <xf numFmtId="0" fontId="47" fillId="0" borderId="19" xfId="0" applyFont="1" applyBorder="1"/>
    <xf numFmtId="0" fontId="0" fillId="14" borderId="30" xfId="0" applyFill="1" applyBorder="1" applyAlignment="1">
      <alignment wrapText="1"/>
    </xf>
    <xf numFmtId="10" fontId="21" fillId="41" borderId="5" xfId="0" applyNumberFormat="1" applyFont="1" applyFill="1" applyBorder="1"/>
    <xf numFmtId="4" fontId="21" fillId="41" borderId="35" xfId="0" applyNumberFormat="1" applyFont="1" applyFill="1" applyBorder="1"/>
    <xf numFmtId="10" fontId="21" fillId="41" borderId="6" xfId="0" applyNumberFormat="1" applyFont="1" applyFill="1" applyBorder="1"/>
    <xf numFmtId="4" fontId="21" fillId="41" borderId="19" xfId="0" applyNumberFormat="1" applyFont="1" applyFill="1" applyBorder="1"/>
    <xf numFmtId="10" fontId="21" fillId="41" borderId="57" xfId="0" applyNumberFormat="1" applyFont="1" applyFill="1" applyBorder="1"/>
    <xf numFmtId="4" fontId="21" fillId="41" borderId="59" xfId="0" applyNumberFormat="1" applyFont="1" applyFill="1" applyBorder="1"/>
    <xf numFmtId="0" fontId="54" fillId="0" borderId="19" xfId="0" applyFont="1" applyBorder="1"/>
    <xf numFmtId="10" fontId="54" fillId="14" borderId="30" xfId="0" applyNumberFormat="1" applyFont="1" applyFill="1" applyBorder="1"/>
    <xf numFmtId="0" fontId="54" fillId="14" borderId="30" xfId="0" applyFont="1" applyFill="1" applyBorder="1"/>
    <xf numFmtId="10" fontId="23" fillId="41" borderId="6" xfId="0" applyNumberFormat="1" applyFont="1" applyFill="1" applyBorder="1"/>
    <xf numFmtId="0" fontId="49" fillId="0" borderId="4" xfId="0" applyFont="1" applyBorder="1" applyAlignment="1">
      <alignment horizontal="center"/>
    </xf>
    <xf numFmtId="0" fontId="49" fillId="0" borderId="3" xfId="0" applyFont="1" applyBorder="1" applyAlignment="1">
      <alignment wrapText="1"/>
    </xf>
    <xf numFmtId="0" fontId="0" fillId="14" borderId="30" xfId="0" applyFill="1" applyBorder="1" applyAlignment="1">
      <alignment horizontal="center"/>
    </xf>
    <xf numFmtId="10" fontId="23" fillId="0" borderId="23" xfId="0" applyNumberFormat="1" applyFont="1" applyBorder="1"/>
    <xf numFmtId="4" fontId="21" fillId="0" borderId="22" xfId="0" applyNumberFormat="1" applyFont="1" applyBorder="1"/>
    <xf numFmtId="4" fontId="21" fillId="41" borderId="21" xfId="0" applyNumberFormat="1" applyFont="1" applyFill="1" applyBorder="1"/>
    <xf numFmtId="10" fontId="23" fillId="41" borderId="23" xfId="0" applyNumberFormat="1" applyFont="1" applyFill="1" applyBorder="1"/>
    <xf numFmtId="4" fontId="21" fillId="41" borderId="22" xfId="0" applyNumberFormat="1" applyFont="1" applyFill="1" applyBorder="1"/>
    <xf numFmtId="10" fontId="23" fillId="41" borderId="20" xfId="0" applyNumberFormat="1" applyFont="1" applyFill="1" applyBorder="1"/>
    <xf numFmtId="4" fontId="0" fillId="0" borderId="57" xfId="0" applyNumberFormat="1" applyBorder="1"/>
    <xf numFmtId="0" fontId="0" fillId="0" borderId="59" xfId="0" applyBorder="1"/>
    <xf numFmtId="0" fontId="56" fillId="0" borderId="0" xfId="0" applyFont="1"/>
    <xf numFmtId="4" fontId="56" fillId="15" borderId="30" xfId="0" applyNumberFormat="1" applyFont="1" applyFill="1" applyBorder="1" applyAlignment="1">
      <alignment horizontal="right"/>
    </xf>
    <xf numFmtId="10" fontId="57" fillId="15" borderId="30" xfId="0" applyNumberFormat="1" applyFont="1" applyFill="1" applyBorder="1" applyAlignment="1">
      <alignment horizontal="right"/>
    </xf>
    <xf numFmtId="4" fontId="28" fillId="0" borderId="30" xfId="0" applyNumberFormat="1" applyFont="1" applyBorder="1"/>
    <xf numFmtId="0" fontId="58" fillId="0" borderId="30" xfId="0" applyNumberFormat="1" applyFont="1" applyBorder="1" applyAlignment="1">
      <alignment horizontal="center"/>
    </xf>
    <xf numFmtId="0" fontId="28" fillId="0" borderId="30" xfId="0" applyFont="1" applyBorder="1"/>
    <xf numFmtId="4" fontId="28" fillId="0" borderId="0" xfId="0" applyNumberFormat="1" applyFont="1"/>
    <xf numFmtId="0" fontId="28" fillId="0" borderId="6" xfId="0" applyFont="1" applyBorder="1" applyAlignment="1">
      <alignment horizontal="center"/>
    </xf>
    <xf numFmtId="0" fontId="28" fillId="0" borderId="3" xfId="0" applyFont="1" applyBorder="1" applyAlignment="1">
      <alignment horizontal="center"/>
    </xf>
    <xf numFmtId="0" fontId="28" fillId="45" borderId="3" xfId="0" applyFont="1" applyFill="1" applyBorder="1" applyAlignment="1">
      <alignment horizontal="center"/>
    </xf>
    <xf numFmtId="0" fontId="28" fillId="45" borderId="32" xfId="0" applyFont="1" applyFill="1" applyBorder="1" applyAlignment="1">
      <alignment horizontal="center"/>
    </xf>
    <xf numFmtId="4" fontId="28" fillId="0" borderId="24" xfId="0" applyNumberFormat="1" applyFont="1" applyBorder="1"/>
    <xf numFmtId="4" fontId="28" fillId="0" borderId="4" xfId="0" applyNumberFormat="1" applyFont="1" applyBorder="1"/>
    <xf numFmtId="4" fontId="28" fillId="0" borderId="25" xfId="0" applyNumberFormat="1" applyFont="1" applyBorder="1"/>
    <xf numFmtId="4" fontId="28" fillId="0" borderId="0" xfId="0" applyNumberFormat="1" applyFont="1" applyBorder="1"/>
    <xf numFmtId="4" fontId="28" fillId="0" borderId="23" xfId="0" applyNumberFormat="1" applyFont="1" applyBorder="1"/>
    <xf numFmtId="4" fontId="28" fillId="0" borderId="8" xfId="0" applyNumberFormat="1" applyFont="1" applyBorder="1"/>
    <xf numFmtId="4" fontId="28" fillId="0" borderId="22" xfId="0" applyNumberFormat="1" applyFont="1" applyBorder="1"/>
    <xf numFmtId="4" fontId="28" fillId="0" borderId="6" xfId="0" applyNumberFormat="1" applyFont="1" applyBorder="1"/>
    <xf numFmtId="4" fontId="28" fillId="0" borderId="7" xfId="0" applyNumberFormat="1" applyFont="1" applyBorder="1"/>
    <xf numFmtId="4" fontId="28" fillId="0" borderId="19" xfId="0" applyNumberFormat="1" applyFont="1" applyBorder="1"/>
    <xf numFmtId="4" fontId="28" fillId="0" borderId="20" xfId="0" applyNumberFormat="1" applyFont="1" applyBorder="1"/>
    <xf numFmtId="4" fontId="28" fillId="0" borderId="9" xfId="0" applyNumberFormat="1" applyFont="1" applyBorder="1"/>
    <xf numFmtId="4" fontId="28" fillId="0" borderId="21" xfId="0" applyNumberFormat="1" applyFont="1" applyBorder="1"/>
    <xf numFmtId="0" fontId="0" fillId="0" borderId="100" xfId="0" applyBorder="1" applyAlignment="1">
      <alignment horizontal="center" vertical="center"/>
    </xf>
    <xf numFmtId="0" fontId="0" fillId="0" borderId="68" xfId="0" applyBorder="1" applyAlignment="1">
      <alignment vertical="center" wrapText="1"/>
    </xf>
    <xf numFmtId="4" fontId="0" fillId="0" borderId="101" xfId="0" applyNumberFormat="1" applyBorder="1" applyAlignment="1">
      <alignment vertical="center" wrapText="1"/>
    </xf>
    <xf numFmtId="10" fontId="0" fillId="0" borderId="68" xfId="0" applyNumberFormat="1" applyFont="1" applyBorder="1" applyAlignment="1">
      <alignment vertical="center"/>
    </xf>
    <xf numFmtId="0" fontId="55" fillId="43" borderId="65" xfId="0" applyFont="1" applyFill="1" applyBorder="1" applyAlignment="1">
      <alignment horizontal="center" vertical="center"/>
    </xf>
    <xf numFmtId="0" fontId="55" fillId="43" borderId="30" xfId="0" applyFont="1" applyFill="1" applyBorder="1" applyAlignment="1">
      <alignment vertical="center" wrapText="1"/>
    </xf>
    <xf numFmtId="4" fontId="55" fillId="43" borderId="66" xfId="0" applyNumberFormat="1" applyFont="1" applyFill="1" applyBorder="1" applyAlignment="1">
      <alignment horizontal="right" vertical="center"/>
    </xf>
    <xf numFmtId="10" fontId="47" fillId="43" borderId="30" xfId="0" applyNumberFormat="1" applyFont="1" applyFill="1" applyBorder="1" applyAlignment="1">
      <alignment vertical="center"/>
    </xf>
    <xf numFmtId="0" fontId="55" fillId="43" borderId="33" xfId="0" applyFont="1" applyFill="1" applyBorder="1" applyAlignment="1">
      <alignment horizontal="center" vertical="center"/>
    </xf>
    <xf numFmtId="0" fontId="55" fillId="43" borderId="24" xfId="0" applyFont="1" applyFill="1" applyBorder="1" applyAlignment="1">
      <alignment vertical="center" wrapText="1"/>
    </xf>
    <xf numFmtId="4" fontId="55" fillId="43" borderId="34" xfId="0" applyNumberFormat="1" applyFont="1" applyFill="1" applyBorder="1" applyAlignment="1">
      <alignment horizontal="right" vertical="center"/>
    </xf>
    <xf numFmtId="10" fontId="47" fillId="43" borderId="24" xfId="0" applyNumberFormat="1" applyFont="1" applyFill="1" applyBorder="1" applyAlignment="1">
      <alignment vertical="center"/>
    </xf>
    <xf numFmtId="0" fontId="20" fillId="15" borderId="76" xfId="0" applyFont="1" applyFill="1" applyBorder="1" applyAlignment="1">
      <alignment horizontal="center" vertical="center"/>
    </xf>
    <xf numFmtId="0" fontId="20" fillId="15" borderId="29" xfId="0" applyFont="1" applyFill="1" applyBorder="1" applyAlignment="1">
      <alignment vertical="center"/>
    </xf>
    <xf numFmtId="4" fontId="20" fillId="15" borderId="69" xfId="0" applyNumberFormat="1" applyFont="1" applyFill="1" applyBorder="1" applyAlignment="1">
      <alignment horizontal="center" wrapText="1"/>
    </xf>
    <xf numFmtId="4" fontId="20" fillId="15" borderId="29" xfId="0" applyNumberFormat="1" applyFont="1" applyFill="1" applyBorder="1" applyAlignment="1">
      <alignment horizontal="center" vertical="center" wrapText="1"/>
    </xf>
    <xf numFmtId="2" fontId="28" fillId="0" borderId="49" xfId="0" applyNumberFormat="1" applyFont="1" applyBorder="1"/>
    <xf numFmtId="0" fontId="28" fillId="9" borderId="103" xfId="0" applyFont="1" applyFill="1" applyBorder="1" applyAlignment="1">
      <alignment wrapText="1"/>
    </xf>
    <xf numFmtId="2" fontId="28" fillId="0" borderId="104" xfId="0" applyNumberFormat="1" applyFont="1" applyBorder="1"/>
    <xf numFmtId="2" fontId="28" fillId="0" borderId="105" xfId="0" applyNumberFormat="1" applyFont="1" applyBorder="1"/>
    <xf numFmtId="0" fontId="28" fillId="9" borderId="57" xfId="0" applyFont="1" applyFill="1" applyBorder="1" applyAlignment="1">
      <alignment wrapText="1"/>
    </xf>
    <xf numFmtId="2" fontId="28" fillId="0" borderId="58" xfId="0" applyNumberFormat="1" applyFont="1" applyBorder="1"/>
    <xf numFmtId="2" fontId="28" fillId="0" borderId="96" xfId="0" applyNumberFormat="1" applyFont="1" applyBorder="1"/>
    <xf numFmtId="0" fontId="28" fillId="0" borderId="14" xfId="0" applyFont="1" applyBorder="1"/>
    <xf numFmtId="4" fontId="28" fillId="0" borderId="92" xfId="0" applyNumberFormat="1" applyFont="1" applyBorder="1"/>
    <xf numFmtId="4" fontId="28" fillId="0" borderId="57" xfId="0" applyNumberFormat="1" applyFont="1" applyBorder="1"/>
    <xf numFmtId="4" fontId="28" fillId="0" borderId="94" xfId="0" applyNumberFormat="1" applyFont="1" applyBorder="1"/>
    <xf numFmtId="0" fontId="28" fillId="0" borderId="48" xfId="0" applyFont="1" applyBorder="1"/>
    <xf numFmtId="0" fontId="28" fillId="0" borderId="7" xfId="0" applyFont="1" applyBorder="1"/>
    <xf numFmtId="0" fontId="28" fillId="0" borderId="49" xfId="0" applyFont="1" applyBorder="1"/>
    <xf numFmtId="4" fontId="28" fillId="0" borderId="14" xfId="0" applyNumberFormat="1" applyFont="1" applyBorder="1"/>
    <xf numFmtId="4" fontId="28" fillId="0" borderId="10" xfId="0" applyNumberFormat="1" applyFont="1" applyBorder="1"/>
    <xf numFmtId="4" fontId="28" fillId="0" borderId="91" xfId="0" applyNumberFormat="1" applyFont="1" applyBorder="1"/>
    <xf numFmtId="0" fontId="28" fillId="0" borderId="92" xfId="0" applyFont="1" applyBorder="1"/>
    <xf numFmtId="0" fontId="28" fillId="0" borderId="58" xfId="0" applyFont="1" applyBorder="1"/>
    <xf numFmtId="0" fontId="28" fillId="0" borderId="96" xfId="0" applyFont="1" applyBorder="1"/>
    <xf numFmtId="0" fontId="28" fillId="0" borderId="16" xfId="0" applyFont="1" applyBorder="1"/>
    <xf numFmtId="0" fontId="28" fillId="9" borderId="20" xfId="0" applyFont="1" applyFill="1" applyBorder="1" applyAlignment="1">
      <alignment wrapText="1"/>
    </xf>
    <xf numFmtId="0" fontId="28" fillId="9" borderId="23" xfId="0" applyFont="1" applyFill="1" applyBorder="1" applyAlignment="1">
      <alignment wrapText="1"/>
    </xf>
    <xf numFmtId="0" fontId="28" fillId="0" borderId="0" xfId="0" applyFont="1" applyBorder="1"/>
    <xf numFmtId="0" fontId="28" fillId="0" borderId="68" xfId="0" applyFont="1" applyBorder="1" applyAlignment="1">
      <alignment horizontal="center"/>
    </xf>
    <xf numFmtId="4" fontId="28" fillId="9" borderId="30" xfId="0" applyNumberFormat="1" applyFont="1" applyFill="1" applyBorder="1" applyAlignment="1">
      <alignment horizontal="center" vertical="center" wrapText="1"/>
    </xf>
    <xf numFmtId="0" fontId="28" fillId="0" borderId="65" xfId="0" applyFont="1" applyBorder="1"/>
    <xf numFmtId="0" fontId="28" fillId="0" borderId="60" xfId="0" applyFont="1" applyBorder="1" applyAlignment="1">
      <alignment horizontal="center"/>
    </xf>
    <xf numFmtId="0" fontId="28" fillId="0" borderId="30" xfId="0" applyFont="1" applyBorder="1" applyAlignment="1">
      <alignment horizontal="center"/>
    </xf>
    <xf numFmtId="0" fontId="48" fillId="0" borderId="0" xfId="0" applyFont="1" applyAlignment="1"/>
    <xf numFmtId="0" fontId="28" fillId="0" borderId="102" xfId="0" applyFont="1" applyBorder="1" applyAlignment="1">
      <alignment horizontal="center"/>
    </xf>
    <xf numFmtId="4" fontId="28" fillId="9" borderId="40" xfId="0" applyNumberFormat="1" applyFont="1" applyFill="1" applyBorder="1" applyAlignment="1">
      <alignment horizontal="center" vertical="center"/>
    </xf>
    <xf numFmtId="4" fontId="28" fillId="9" borderId="40" xfId="0" applyNumberFormat="1" applyFont="1" applyFill="1" applyBorder="1" applyAlignment="1">
      <alignment horizontal="center" vertical="center" wrapText="1"/>
    </xf>
    <xf numFmtId="4" fontId="28" fillId="9" borderId="79" xfId="0" applyNumberFormat="1" applyFont="1" applyFill="1" applyBorder="1" applyAlignment="1">
      <alignment horizontal="center" vertical="center" wrapText="1"/>
    </xf>
    <xf numFmtId="0" fontId="28" fillId="0" borderId="41" xfId="0" applyFont="1" applyBorder="1" applyAlignment="1">
      <alignment horizontal="center"/>
    </xf>
    <xf numFmtId="4" fontId="28" fillId="12" borderId="106" xfId="0" applyNumberFormat="1" applyFont="1" applyFill="1" applyBorder="1" applyAlignment="1">
      <alignment horizontal="center" wrapText="1"/>
    </xf>
    <xf numFmtId="4" fontId="28" fillId="12" borderId="40" xfId="0" applyNumberFormat="1" applyFont="1" applyFill="1" applyBorder="1" applyAlignment="1">
      <alignment horizontal="center"/>
    </xf>
    <xf numFmtId="0" fontId="28" fillId="12" borderId="40" xfId="0" applyFont="1" applyFill="1" applyBorder="1" applyAlignment="1">
      <alignment horizontal="center"/>
    </xf>
    <xf numFmtId="0" fontId="28" fillId="12" borderId="79" xfId="0" applyFont="1" applyFill="1" applyBorder="1" applyAlignment="1">
      <alignment horizontal="center" wrapText="1"/>
    </xf>
    <xf numFmtId="0" fontId="28" fillId="0" borderId="42" xfId="0" applyFont="1" applyBorder="1" applyAlignment="1">
      <alignment horizontal="center" vertical="center" wrapText="1"/>
    </xf>
    <xf numFmtId="0" fontId="28" fillId="0" borderId="43" xfId="0" applyFont="1" applyBorder="1" applyAlignment="1">
      <alignment horizontal="center" vertical="center" wrapText="1"/>
    </xf>
    <xf numFmtId="0" fontId="28" fillId="0" borderId="43" xfId="0" applyFont="1" applyBorder="1" applyAlignment="1">
      <alignment horizontal="center" vertical="center"/>
    </xf>
    <xf numFmtId="0" fontId="28" fillId="0" borderId="44" xfId="0" applyFont="1" applyBorder="1" applyAlignment="1">
      <alignment horizontal="center" vertical="center" wrapText="1"/>
    </xf>
    <xf numFmtId="4" fontId="59" fillId="41" borderId="95" xfId="0" applyNumberFormat="1" applyFont="1" applyFill="1" applyBorder="1"/>
    <xf numFmtId="0" fontId="28" fillId="41" borderId="44" xfId="0" applyFont="1" applyFill="1" applyBorder="1"/>
    <xf numFmtId="0" fontId="28" fillId="0" borderId="30" xfId="0" applyFont="1" applyBorder="1" applyAlignment="1">
      <alignment horizontal="center" vertical="center"/>
    </xf>
    <xf numFmtId="0" fontId="28" fillId="42" borderId="0" xfId="0" applyFont="1" applyFill="1" applyBorder="1"/>
    <xf numFmtId="0" fontId="28" fillId="45" borderId="30" xfId="0" applyFont="1" applyFill="1" applyBorder="1" applyAlignment="1">
      <alignment horizontal="center" vertical="center" wrapText="1"/>
    </xf>
    <xf numFmtId="0" fontId="28" fillId="0" borderId="70" xfId="0" applyFont="1" applyBorder="1"/>
    <xf numFmtId="0" fontId="28" fillId="0" borderId="71" xfId="0" applyFont="1" applyBorder="1"/>
    <xf numFmtId="0" fontId="28" fillId="0" borderId="24" xfId="0" applyFont="1" applyBorder="1"/>
    <xf numFmtId="4" fontId="59" fillId="41" borderId="30" xfId="0" applyNumberFormat="1" applyFont="1" applyFill="1" applyBorder="1"/>
    <xf numFmtId="0" fontId="59" fillId="42" borderId="0" xfId="0" applyFont="1" applyFill="1" applyBorder="1"/>
    <xf numFmtId="0" fontId="28" fillId="42" borderId="60" xfId="0" applyFont="1" applyFill="1" applyBorder="1" applyAlignment="1">
      <alignment wrapText="1"/>
    </xf>
    <xf numFmtId="0" fontId="28" fillId="0" borderId="27" xfId="0" applyFont="1" applyBorder="1"/>
    <xf numFmtId="0" fontId="28" fillId="0" borderId="8" xfId="0" applyFont="1" applyBorder="1"/>
    <xf numFmtId="0" fontId="61" fillId="41" borderId="30" xfId="0" applyFont="1" applyFill="1" applyBorder="1"/>
    <xf numFmtId="0" fontId="28" fillId="0" borderId="19" xfId="0" applyFont="1" applyBorder="1"/>
    <xf numFmtId="0" fontId="28" fillId="0" borderId="4" xfId="0" applyFont="1" applyBorder="1"/>
    <xf numFmtId="0" fontId="28" fillId="0" borderId="9" xfId="0" applyFont="1" applyBorder="1"/>
    <xf numFmtId="0" fontId="28" fillId="0" borderId="21" xfId="0" applyFont="1" applyBorder="1"/>
    <xf numFmtId="0" fontId="28" fillId="0" borderId="25" xfId="0" applyFont="1" applyBorder="1"/>
    <xf numFmtId="0" fontId="28" fillId="0" borderId="22" xfId="0" applyFont="1" applyBorder="1"/>
    <xf numFmtId="0" fontId="28" fillId="45" borderId="12" xfId="0" applyFont="1" applyFill="1" applyBorder="1" applyAlignment="1">
      <alignment horizontal="center"/>
    </xf>
    <xf numFmtId="0" fontId="28" fillId="45" borderId="72" xfId="0" applyFont="1" applyFill="1" applyBorder="1" applyAlignment="1">
      <alignment horizontal="center"/>
    </xf>
    <xf numFmtId="4" fontId="28" fillId="48" borderId="30" xfId="0" applyNumberFormat="1" applyFont="1" applyFill="1" applyBorder="1" applyAlignment="1">
      <alignment horizontal="center"/>
    </xf>
    <xf numFmtId="4" fontId="28" fillId="48" borderId="30" xfId="0" applyNumberFormat="1" applyFont="1" applyFill="1" applyBorder="1" applyAlignment="1">
      <alignment horizontal="center" wrapText="1"/>
    </xf>
    <xf numFmtId="0" fontId="28" fillId="0" borderId="23" xfId="0" applyFont="1" applyBorder="1"/>
    <xf numFmtId="0" fontId="28" fillId="0" borderId="6" xfId="0" applyFont="1" applyBorder="1"/>
    <xf numFmtId="0" fontId="28" fillId="0" borderId="20" xfId="0" applyFont="1" applyBorder="1"/>
    <xf numFmtId="4" fontId="59" fillId="45" borderId="30" xfId="0" applyNumberFormat="1" applyFont="1" applyFill="1" applyBorder="1"/>
    <xf numFmtId="4" fontId="28" fillId="43" borderId="66" xfId="0" applyNumberFormat="1" applyFont="1" applyFill="1" applyBorder="1" applyAlignment="1">
      <alignment horizontal="center" wrapText="1"/>
    </xf>
    <xf numFmtId="0" fontId="28" fillId="48" borderId="63" xfId="0" applyFont="1" applyFill="1" applyBorder="1" applyAlignment="1">
      <alignment horizontal="center"/>
    </xf>
    <xf numFmtId="0" fontId="28" fillId="0" borderId="65" xfId="0" applyFont="1" applyBorder="1" applyAlignment="1">
      <alignment horizontal="center"/>
    </xf>
    <xf numFmtId="0" fontId="28" fillId="0" borderId="23" xfId="0" applyFont="1" applyBorder="1" applyAlignment="1">
      <alignment horizontal="center"/>
    </xf>
    <xf numFmtId="0" fontId="28" fillId="0" borderId="99" xfId="0" applyFont="1" applyBorder="1"/>
    <xf numFmtId="0" fontId="28" fillId="0" borderId="35" xfId="0" applyFont="1" applyBorder="1"/>
    <xf numFmtId="0" fontId="28" fillId="0" borderId="20" xfId="0" applyFont="1" applyBorder="1" applyAlignment="1">
      <alignment horizontal="center"/>
    </xf>
    <xf numFmtId="0" fontId="28" fillId="0" borderId="37" xfId="0" applyFont="1" applyBorder="1"/>
    <xf numFmtId="0" fontId="59" fillId="45" borderId="30" xfId="0" applyFont="1" applyFill="1" applyBorder="1" applyAlignment="1">
      <alignment horizontal="center"/>
    </xf>
    <xf numFmtId="0" fontId="28" fillId="45" borderId="65" xfId="0" applyFont="1" applyFill="1" applyBorder="1" applyAlignment="1">
      <alignment horizontal="center"/>
    </xf>
    <xf numFmtId="0" fontId="28" fillId="45" borderId="30" xfId="0" applyFont="1" applyFill="1" applyBorder="1" applyAlignment="1">
      <alignment horizontal="center"/>
    </xf>
    <xf numFmtId="0" fontId="28" fillId="0" borderId="33" xfId="0" applyFont="1" applyBorder="1" applyAlignment="1">
      <alignment horizontal="center"/>
    </xf>
    <xf numFmtId="0" fontId="28" fillId="46" borderId="24" xfId="0" applyFont="1" applyFill="1" applyBorder="1" applyAlignment="1">
      <alignment wrapText="1"/>
    </xf>
    <xf numFmtId="0" fontId="62" fillId="0" borderId="22" xfId="0" applyFont="1" applyBorder="1"/>
    <xf numFmtId="0" fontId="28" fillId="44" borderId="72" xfId="0" applyFont="1" applyFill="1" applyBorder="1" applyAlignment="1">
      <alignment wrapText="1"/>
    </xf>
    <xf numFmtId="0" fontId="28" fillId="0" borderId="89" xfId="0" applyFont="1" applyBorder="1"/>
    <xf numFmtId="0" fontId="28" fillId="0" borderId="61" xfId="0" applyFont="1" applyBorder="1"/>
    <xf numFmtId="0" fontId="62" fillId="0" borderId="62" xfId="0" applyFont="1" applyBorder="1"/>
    <xf numFmtId="0" fontId="28" fillId="0" borderId="55" xfId="0" applyFont="1" applyBorder="1" applyAlignment="1">
      <alignment wrapText="1"/>
    </xf>
    <xf numFmtId="0" fontId="28" fillId="0" borderId="45" xfId="0" applyFont="1" applyBorder="1"/>
    <xf numFmtId="0" fontId="28" fillId="0" borderId="74" xfId="0" applyFont="1" applyBorder="1"/>
    <xf numFmtId="0" fontId="28" fillId="42" borderId="47" xfId="0" applyFont="1" applyFill="1" applyBorder="1" applyAlignment="1">
      <alignment wrapText="1"/>
    </xf>
    <xf numFmtId="0" fontId="28" fillId="42" borderId="46" xfId="0" applyFont="1" applyFill="1" applyBorder="1"/>
    <xf numFmtId="0" fontId="28" fillId="42" borderId="2" xfId="0" applyFont="1" applyFill="1" applyBorder="1"/>
    <xf numFmtId="0" fontId="61" fillId="42" borderId="11" xfId="0" applyFont="1" applyFill="1" applyBorder="1"/>
    <xf numFmtId="0" fontId="28" fillId="42" borderId="0" xfId="0" applyFont="1" applyFill="1"/>
    <xf numFmtId="4" fontId="28" fillId="9" borderId="30" xfId="0" applyNumberFormat="1" applyFont="1" applyFill="1" applyBorder="1" applyAlignment="1">
      <alignment horizontal="center" vertical="center"/>
    </xf>
    <xf numFmtId="4" fontId="28" fillId="12" borderId="40" xfId="0" applyNumberFormat="1" applyFont="1" applyFill="1" applyBorder="1" applyAlignment="1">
      <alignment horizontal="center" wrapText="1"/>
    </xf>
    <xf numFmtId="0" fontId="28" fillId="12" borderId="40" xfId="0" applyFont="1" applyFill="1" applyBorder="1" applyAlignment="1">
      <alignment horizontal="center" wrapText="1"/>
    </xf>
    <xf numFmtId="4" fontId="28" fillId="0" borderId="26" xfId="0" applyNumberFormat="1" applyFont="1" applyBorder="1"/>
    <xf numFmtId="4" fontId="28" fillId="0" borderId="51" xfId="0" applyNumberFormat="1" applyFont="1" applyBorder="1"/>
    <xf numFmtId="0" fontId="28" fillId="9" borderId="52" xfId="0" applyFont="1" applyFill="1" applyBorder="1"/>
    <xf numFmtId="2" fontId="28" fillId="0" borderId="53" xfId="0" applyNumberFormat="1" applyFont="1" applyBorder="1"/>
    <xf numFmtId="2" fontId="28" fillId="0" borderId="54" xfId="0" applyNumberFormat="1" applyFont="1" applyBorder="1"/>
    <xf numFmtId="4" fontId="59" fillId="0" borderId="93" xfId="0" applyNumberFormat="1" applyFont="1" applyBorder="1"/>
    <xf numFmtId="4" fontId="28" fillId="0" borderId="64" xfId="0" applyNumberFormat="1" applyFont="1" applyBorder="1"/>
    <xf numFmtId="4" fontId="59" fillId="41" borderId="44" xfId="0" applyNumberFormat="1" applyFont="1" applyFill="1" applyBorder="1"/>
    <xf numFmtId="0" fontId="28" fillId="41" borderId="42" xfId="0" applyFont="1" applyFill="1" applyBorder="1"/>
    <xf numFmtId="0" fontId="28" fillId="41" borderId="43" xfId="0" applyFont="1" applyFill="1" applyBorder="1"/>
    <xf numFmtId="4" fontId="28" fillId="0" borderId="47" xfId="0" applyNumberFormat="1" applyFont="1" applyBorder="1"/>
    <xf numFmtId="0" fontId="28" fillId="0" borderId="2" xfId="0" applyFont="1" applyBorder="1"/>
    <xf numFmtId="0" fontId="28" fillId="0" borderId="55" xfId="0" applyFont="1" applyBorder="1"/>
    <xf numFmtId="0" fontId="28" fillId="0" borderId="64" xfId="0" applyFont="1" applyBorder="1"/>
    <xf numFmtId="0" fontId="28" fillId="0" borderId="10" xfId="0" applyFont="1" applyBorder="1"/>
    <xf numFmtId="0" fontId="28" fillId="0" borderId="69" xfId="0" applyFont="1" applyBorder="1" applyAlignment="1">
      <alignment horizontal="center"/>
    </xf>
    <xf numFmtId="4" fontId="28" fillId="0" borderId="50" xfId="0" applyNumberFormat="1" applyFont="1" applyBorder="1"/>
    <xf numFmtId="4" fontId="28" fillId="0" borderId="55" xfId="0" applyNumberFormat="1" applyFont="1" applyBorder="1"/>
    <xf numFmtId="4" fontId="28" fillId="0" borderId="90" xfId="0" applyNumberFormat="1" applyFont="1" applyBorder="1"/>
    <xf numFmtId="4" fontId="28" fillId="0" borderId="68" xfId="0" applyNumberFormat="1" applyFont="1" applyBorder="1"/>
    <xf numFmtId="0" fontId="28" fillId="0" borderId="60" xfId="0" applyFont="1" applyBorder="1" applyAlignment="1">
      <alignment horizontal="center"/>
    </xf>
    <xf numFmtId="165" fontId="17" fillId="41" borderId="4" xfId="44" applyFont="1" applyFill="1" applyBorder="1" applyAlignment="1">
      <alignment horizontal="right" vertical="top" wrapText="1"/>
    </xf>
    <xf numFmtId="165" fontId="17" fillId="41" borderId="1" xfId="44" applyFont="1" applyFill="1" applyBorder="1" applyAlignment="1">
      <alignment horizontal="right" vertical="top" wrapText="1"/>
    </xf>
    <xf numFmtId="165" fontId="17" fillId="41" borderId="7" xfId="44" applyFont="1" applyFill="1" applyBorder="1" applyAlignment="1">
      <alignment horizontal="right" vertical="top" wrapText="1"/>
    </xf>
    <xf numFmtId="165" fontId="17" fillId="9" borderId="4" xfId="44" applyFont="1" applyFill="1" applyBorder="1" applyAlignment="1">
      <alignment vertical="top" wrapText="1"/>
    </xf>
    <xf numFmtId="165" fontId="17" fillId="9" borderId="1" xfId="44" applyFont="1" applyFill="1" applyBorder="1" applyAlignment="1">
      <alignment vertical="top" wrapText="1"/>
    </xf>
    <xf numFmtId="165" fontId="17" fillId="9" borderId="6" xfId="44" applyFont="1" applyFill="1" applyBorder="1" applyAlignment="1">
      <alignment vertical="top" wrapText="1"/>
    </xf>
    <xf numFmtId="165" fontId="17" fillId="9" borderId="7" xfId="44" applyFont="1" applyFill="1" applyBorder="1" applyAlignment="1">
      <alignment vertical="top" wrapText="1"/>
    </xf>
    <xf numFmtId="165" fontId="17" fillId="9" borderId="19" xfId="44" applyFont="1" applyFill="1" applyBorder="1" applyAlignment="1">
      <alignment vertical="top" wrapText="1"/>
    </xf>
    <xf numFmtId="165" fontId="17" fillId="0" borderId="4" xfId="44" applyFont="1" applyBorder="1" applyAlignment="1">
      <alignment horizontal="right" vertical="top" wrapText="1"/>
    </xf>
    <xf numFmtId="165" fontId="17" fillId="0" borderId="1" xfId="44" applyFont="1" applyBorder="1" applyAlignment="1">
      <alignment horizontal="right" vertical="top" wrapText="1"/>
    </xf>
    <xf numFmtId="165" fontId="17" fillId="0" borderId="6" xfId="44" applyFont="1" applyBorder="1" applyAlignment="1">
      <alignment horizontal="right" vertical="top" wrapText="1"/>
    </xf>
    <xf numFmtId="165" fontId="17" fillId="0" borderId="7" xfId="44" applyFont="1" applyBorder="1" applyAlignment="1">
      <alignment horizontal="right" vertical="top" wrapText="1"/>
    </xf>
    <xf numFmtId="165" fontId="17" fillId="0" borderId="19" xfId="44" applyFont="1" applyBorder="1" applyAlignment="1">
      <alignment horizontal="right" vertical="top" wrapText="1"/>
    </xf>
    <xf numFmtId="165" fontId="17" fillId="0" borderId="31" xfId="44" applyFont="1" applyBorder="1" applyAlignment="1">
      <alignment horizontal="right" vertical="top" wrapText="1"/>
    </xf>
    <xf numFmtId="165" fontId="17" fillId="0" borderId="3" xfId="44" applyFont="1" applyBorder="1" applyAlignment="1">
      <alignment horizontal="right" vertical="top" wrapText="1"/>
    </xf>
    <xf numFmtId="0" fontId="17" fillId="42" borderId="67" xfId="0" applyFont="1" applyFill="1" applyBorder="1" applyAlignment="1">
      <alignment horizontal="center" vertical="top" wrapText="1"/>
    </xf>
    <xf numFmtId="165" fontId="17" fillId="9" borderId="4" xfId="44" applyFont="1" applyFill="1" applyBorder="1" applyAlignment="1">
      <alignment horizontal="right" vertical="top" wrapText="1"/>
    </xf>
    <xf numFmtId="165" fontId="17" fillId="9" borderId="1" xfId="44" applyFont="1" applyFill="1" applyBorder="1" applyAlignment="1">
      <alignment horizontal="right" vertical="top" wrapText="1"/>
    </xf>
    <xf numFmtId="165" fontId="17" fillId="9" borderId="6" xfId="44" applyFont="1" applyFill="1" applyBorder="1" applyAlignment="1">
      <alignment horizontal="right" vertical="top" wrapText="1"/>
    </xf>
    <xf numFmtId="165" fontId="17" fillId="9" borderId="7" xfId="44" applyFont="1" applyFill="1" applyBorder="1" applyAlignment="1">
      <alignment horizontal="right" vertical="top" wrapText="1"/>
    </xf>
    <xf numFmtId="165" fontId="17" fillId="9" borderId="19" xfId="44" applyFont="1" applyFill="1" applyBorder="1" applyAlignment="1">
      <alignment horizontal="right" vertical="top" wrapText="1"/>
    </xf>
    <xf numFmtId="165" fontId="17" fillId="9" borderId="51" xfId="44" applyFont="1" applyFill="1" applyBorder="1" applyAlignment="1">
      <alignment horizontal="right" vertical="top" wrapText="1"/>
    </xf>
    <xf numFmtId="0" fontId="17" fillId="10" borderId="67" xfId="0" applyFont="1" applyFill="1" applyBorder="1" applyAlignment="1">
      <alignment horizontal="center" vertical="center" wrapText="1"/>
    </xf>
    <xf numFmtId="4" fontId="17" fillId="10" borderId="3" xfId="31" applyNumberFormat="1" applyFont="1" applyFill="1" applyBorder="1" applyAlignment="1">
      <alignment horizontal="left" vertical="center" wrapText="1"/>
    </xf>
    <xf numFmtId="4" fontId="17" fillId="10" borderId="51" xfId="31" applyNumberFormat="1" applyFont="1" applyFill="1" applyBorder="1" applyAlignment="1">
      <alignment horizontal="left" vertical="center" wrapText="1"/>
    </xf>
    <xf numFmtId="0" fontId="17" fillId="42" borderId="1" xfId="0" applyFont="1" applyFill="1" applyBorder="1" applyAlignment="1">
      <alignment horizontal="center" vertical="top" wrapText="1"/>
    </xf>
    <xf numFmtId="0" fontId="54" fillId="42" borderId="31" xfId="0" applyFont="1" applyFill="1" applyBorder="1" applyAlignment="1">
      <alignment horizontal="center" vertical="top" wrapText="1"/>
    </xf>
    <xf numFmtId="0" fontId="17" fillId="42" borderId="4" xfId="0" applyFont="1" applyFill="1" applyBorder="1" applyAlignment="1">
      <alignment horizontal="left" vertical="top" wrapText="1"/>
    </xf>
    <xf numFmtId="165" fontId="17" fillId="42" borderId="4" xfId="44" applyFont="1" applyFill="1" applyBorder="1" applyAlignment="1">
      <alignment horizontal="right" vertical="top" wrapText="1"/>
    </xf>
    <xf numFmtId="165" fontId="17" fillId="42" borderId="1" xfId="44" applyFont="1" applyFill="1" applyBorder="1" applyAlignment="1">
      <alignment horizontal="right" vertical="top" wrapText="1"/>
    </xf>
    <xf numFmtId="165" fontId="17" fillId="42" borderId="3" xfId="44" applyFont="1" applyFill="1" applyBorder="1" applyAlignment="1">
      <alignment horizontal="right" vertical="top" wrapText="1"/>
    </xf>
    <xf numFmtId="165" fontId="17" fillId="42" borderId="31" xfId="44" applyFont="1" applyFill="1" applyBorder="1" applyAlignment="1">
      <alignment horizontal="right" vertical="top" wrapText="1"/>
    </xf>
    <xf numFmtId="2" fontId="2" fillId="42" borderId="4" xfId="0" applyNumberFormat="1" applyFont="1" applyFill="1" applyBorder="1" applyAlignment="1">
      <alignment vertical="top" wrapText="1"/>
    </xf>
    <xf numFmtId="2" fontId="2" fillId="42" borderId="51" xfId="0" applyNumberFormat="1" applyFont="1" applyFill="1" applyBorder="1" applyAlignment="1">
      <alignment vertical="top" wrapText="1"/>
    </xf>
    <xf numFmtId="0" fontId="2" fillId="42" borderId="0" xfId="0" applyFont="1" applyFill="1" applyAlignment="1"/>
    <xf numFmtId="0" fontId="9" fillId="9" borderId="0" xfId="0" applyFont="1" applyFill="1" applyBorder="1" applyAlignment="1">
      <alignment horizontal="center"/>
    </xf>
    <xf numFmtId="0" fontId="9" fillId="9" borderId="17" xfId="0" applyFont="1" applyFill="1" applyBorder="1" applyAlignment="1">
      <alignment horizontal="center"/>
    </xf>
    <xf numFmtId="0" fontId="2" fillId="0" borderId="0" xfId="0" applyFont="1" applyBorder="1" applyAlignment="1">
      <alignment horizontal="center" wrapText="1"/>
    </xf>
    <xf numFmtId="0" fontId="9" fillId="14" borderId="1" xfId="0" applyFont="1" applyFill="1" applyBorder="1" applyAlignment="1">
      <alignment horizontal="center" vertical="top" wrapText="1"/>
    </xf>
    <xf numFmtId="0" fontId="54" fillId="0" borderId="0" xfId="0" applyFont="1" applyAlignment="1">
      <alignment horizontal="center"/>
    </xf>
    <xf numFmtId="0" fontId="63" fillId="10" borderId="1" xfId="0" applyFont="1" applyFill="1" applyBorder="1" applyAlignment="1">
      <alignment horizontal="center" vertical="center" wrapText="1"/>
    </xf>
    <xf numFmtId="0" fontId="63" fillId="0" borderId="1" xfId="0" applyFont="1" applyBorder="1" applyAlignment="1">
      <alignment horizontal="center" vertical="center" wrapText="1"/>
    </xf>
    <xf numFmtId="165" fontId="17" fillId="49" borderId="4" xfId="43" applyFont="1" applyFill="1" applyBorder="1" applyAlignment="1">
      <alignment horizontal="right" vertical="top" wrapText="1"/>
    </xf>
    <xf numFmtId="0" fontId="51" fillId="43" borderId="3" xfId="0" applyFont="1" applyFill="1" applyBorder="1" applyAlignment="1">
      <alignment horizontal="left" vertical="top" wrapText="1"/>
    </xf>
    <xf numFmtId="0" fontId="52" fillId="43" borderId="4" xfId="0" applyFont="1" applyFill="1" applyBorder="1" applyAlignment="1">
      <alignment horizontal="center" vertical="top" wrapText="1"/>
    </xf>
    <xf numFmtId="0" fontId="9" fillId="43" borderId="1" xfId="0" applyFont="1" applyFill="1" applyBorder="1" applyAlignment="1">
      <alignment horizontal="center" vertical="top" wrapText="1"/>
    </xf>
    <xf numFmtId="0" fontId="51" fillId="43" borderId="4" xfId="0" applyFont="1" applyFill="1" applyBorder="1" applyAlignment="1">
      <alignment vertical="top" wrapText="1"/>
    </xf>
    <xf numFmtId="0" fontId="51" fillId="43" borderId="1" xfId="0" applyFont="1" applyFill="1" applyBorder="1" applyAlignment="1">
      <alignment vertical="top" wrapText="1"/>
    </xf>
    <xf numFmtId="0" fontId="51" fillId="43" borderId="6" xfId="0" applyFont="1" applyFill="1" applyBorder="1" applyAlignment="1">
      <alignment vertical="top" wrapText="1"/>
    </xf>
    <xf numFmtId="0" fontId="51" fillId="43" borderId="7" xfId="0" applyFont="1" applyFill="1" applyBorder="1" applyAlignment="1">
      <alignment vertical="top" wrapText="1"/>
    </xf>
    <xf numFmtId="0" fontId="51" fillId="43" borderId="19" xfId="0" applyFont="1" applyFill="1" applyBorder="1" applyAlignment="1">
      <alignment vertical="top" wrapText="1"/>
    </xf>
    <xf numFmtId="0" fontId="52" fillId="43" borderId="4" xfId="0" applyFont="1" applyFill="1" applyBorder="1" applyAlignment="1">
      <alignment vertical="top" wrapText="1"/>
    </xf>
    <xf numFmtId="165" fontId="52" fillId="43" borderId="4" xfId="0" applyNumberFormat="1" applyFont="1" applyFill="1" applyBorder="1" applyAlignment="1">
      <alignment vertical="top" wrapText="1"/>
    </xf>
    <xf numFmtId="0" fontId="49" fillId="0" borderId="10" xfId="0" applyFont="1" applyBorder="1" applyAlignment="1">
      <alignment horizontal="center"/>
    </xf>
    <xf numFmtId="0" fontId="49" fillId="0" borderId="10" xfId="0" applyFont="1" applyBorder="1" applyAlignment="1">
      <alignment wrapText="1"/>
    </xf>
    <xf numFmtId="10" fontId="23" fillId="41" borderId="0" xfId="0" applyNumberFormat="1" applyFont="1" applyFill="1" applyBorder="1"/>
    <xf numFmtId="4" fontId="21" fillId="41" borderId="0" xfId="0" applyNumberFormat="1" applyFont="1" applyFill="1" applyBorder="1"/>
    <xf numFmtId="0" fontId="49" fillId="0" borderId="24" xfId="0" applyFont="1" applyBorder="1" applyAlignment="1">
      <alignment horizontal="center"/>
    </xf>
    <xf numFmtId="0" fontId="49" fillId="0" borderId="33" xfId="0" applyFont="1" applyBorder="1" applyAlignment="1">
      <alignment wrapText="1"/>
    </xf>
    <xf numFmtId="0" fontId="49" fillId="0" borderId="25" xfId="0" applyFont="1" applyBorder="1" applyAlignment="1">
      <alignment horizontal="center"/>
    </xf>
    <xf numFmtId="0" fontId="49" fillId="0" borderId="32" xfId="0" applyFont="1" applyBorder="1" applyAlignment="1">
      <alignment wrapText="1"/>
    </xf>
    <xf numFmtId="4" fontId="29" fillId="12" borderId="106" xfId="0" applyNumberFormat="1" applyFont="1" applyFill="1" applyBorder="1" applyAlignment="1">
      <alignment horizontal="center" wrapText="1"/>
    </xf>
    <xf numFmtId="0" fontId="28" fillId="0" borderId="10" xfId="0" applyFont="1" applyBorder="1" applyAlignment="1">
      <alignment wrapText="1"/>
    </xf>
    <xf numFmtId="0" fontId="28" fillId="0" borderId="12" xfId="0" applyFont="1" applyBorder="1"/>
    <xf numFmtId="2" fontId="28" fillId="0" borderId="9" xfId="0" applyNumberFormat="1" applyFont="1" applyBorder="1"/>
    <xf numFmtId="2" fontId="28" fillId="0" borderId="21" xfId="0" applyNumberFormat="1" applyFont="1" applyBorder="1"/>
    <xf numFmtId="165" fontId="10" fillId="9" borderId="4" xfId="44" applyFont="1" applyFill="1" applyBorder="1" applyAlignment="1">
      <alignment vertical="top" wrapText="1"/>
    </xf>
    <xf numFmtId="165" fontId="10" fillId="9" borderId="1" xfId="44" applyFont="1" applyFill="1" applyBorder="1" applyAlignment="1">
      <alignment vertical="top" wrapText="1"/>
    </xf>
    <xf numFmtId="165" fontId="10" fillId="9" borderId="3" xfId="44" applyFont="1" applyFill="1" applyBorder="1" applyAlignment="1">
      <alignment vertical="top" wrapText="1"/>
    </xf>
    <xf numFmtId="165" fontId="10" fillId="9" borderId="31" xfId="44" applyFont="1" applyFill="1" applyBorder="1" applyAlignment="1">
      <alignment vertical="top" wrapText="1"/>
    </xf>
    <xf numFmtId="0" fontId="63" fillId="10" borderId="3" xfId="0" applyFont="1" applyFill="1" applyBorder="1" applyAlignment="1">
      <alignment horizontal="center" vertical="center" wrapText="1"/>
    </xf>
    <xf numFmtId="0" fontId="63" fillId="10" borderId="4" xfId="0" applyFont="1" applyFill="1" applyBorder="1" applyAlignment="1">
      <alignment horizontal="center" vertical="center" wrapText="1"/>
    </xf>
    <xf numFmtId="0" fontId="63" fillId="0" borderId="4" xfId="0" applyFont="1" applyBorder="1" applyAlignment="1">
      <alignment horizontal="left" vertical="center" wrapText="1"/>
    </xf>
    <xf numFmtId="0" fontId="63" fillId="10" borderId="4" xfId="0" applyFont="1" applyFill="1" applyBorder="1" applyAlignment="1">
      <alignment horizontal="right" vertical="center" wrapText="1"/>
    </xf>
    <xf numFmtId="165" fontId="63" fillId="0" borderId="1" xfId="43" applyFont="1" applyBorder="1" applyAlignment="1">
      <alignment horizontal="right" vertical="top" wrapText="1"/>
    </xf>
    <xf numFmtId="165" fontId="63" fillId="0" borderId="3" xfId="43" applyFont="1" applyBorder="1" applyAlignment="1">
      <alignment horizontal="right" vertical="top" wrapText="1"/>
    </xf>
    <xf numFmtId="165" fontId="63" fillId="0" borderId="31" xfId="43" applyFont="1" applyBorder="1" applyAlignment="1">
      <alignment horizontal="right" vertical="top" wrapText="1"/>
    </xf>
    <xf numFmtId="2" fontId="25" fillId="9" borderId="4" xfId="0" applyNumberFormat="1" applyFont="1" applyFill="1" applyBorder="1" applyAlignment="1">
      <alignment horizontal="right" vertical="top" wrapText="1"/>
    </xf>
    <xf numFmtId="2" fontId="25" fillId="9" borderId="51" xfId="0" applyNumberFormat="1" applyFont="1" applyFill="1" applyBorder="1" applyAlignment="1">
      <alignment horizontal="right" vertical="top" wrapText="1"/>
    </xf>
    <xf numFmtId="0" fontId="63" fillId="9" borderId="0" xfId="0" applyFont="1" applyFill="1" applyAlignment="1">
      <alignment horizontal="left" vertical="center" wrapText="1"/>
    </xf>
    <xf numFmtId="2" fontId="26" fillId="0" borderId="4" xfId="0" applyNumberFormat="1" applyFont="1" applyBorder="1" applyAlignment="1">
      <alignment horizontal="right" vertical="top" wrapText="1"/>
    </xf>
    <xf numFmtId="2" fontId="26" fillId="0" borderId="51" xfId="0" applyNumberFormat="1" applyFont="1" applyBorder="1" applyAlignment="1">
      <alignment horizontal="right" vertical="top" wrapText="1"/>
    </xf>
    <xf numFmtId="2" fontId="26" fillId="9" borderId="4" xfId="0" applyNumberFormat="1" applyFont="1" applyFill="1" applyBorder="1" applyAlignment="1">
      <alignment vertical="top" wrapText="1"/>
    </xf>
    <xf numFmtId="2" fontId="26" fillId="9" borderId="51" xfId="0" applyNumberFormat="1" applyFont="1" applyFill="1" applyBorder="1" applyAlignment="1">
      <alignment vertical="top" wrapText="1"/>
    </xf>
    <xf numFmtId="4" fontId="63" fillId="10" borderId="1" xfId="0" applyNumberFormat="1" applyFont="1" applyFill="1" applyBorder="1" applyAlignment="1">
      <alignment horizontal="right" vertical="center" wrapText="1"/>
    </xf>
    <xf numFmtId="4" fontId="63" fillId="10" borderId="5" xfId="31" applyNumberFormat="1" applyFont="1" applyFill="1" applyBorder="1" applyAlignment="1">
      <alignment horizontal="left" vertical="center" wrapText="1"/>
    </xf>
    <xf numFmtId="4" fontId="63" fillId="10" borderId="35" xfId="31" applyNumberFormat="1" applyFont="1" applyFill="1" applyBorder="1" applyAlignment="1">
      <alignment horizontal="left" vertical="center" wrapText="1"/>
    </xf>
    <xf numFmtId="4" fontId="63" fillId="10" borderId="1" xfId="31" applyNumberFormat="1" applyFont="1" applyFill="1" applyBorder="1" applyAlignment="1">
      <alignment horizontal="left" vertical="center" wrapText="1"/>
    </xf>
    <xf numFmtId="4" fontId="63" fillId="10" borderId="6" xfId="31" applyNumberFormat="1" applyFont="1" applyFill="1" applyBorder="1" applyAlignment="1">
      <alignment horizontal="left" vertical="center" wrapText="1"/>
    </xf>
    <xf numFmtId="4" fontId="63" fillId="10" borderId="7" xfId="31" applyNumberFormat="1" applyFont="1" applyFill="1" applyBorder="1" applyAlignment="1">
      <alignment horizontal="left" vertical="center" wrapText="1"/>
    </xf>
    <xf numFmtId="4" fontId="63" fillId="10" borderId="19" xfId="31" applyNumberFormat="1" applyFont="1" applyFill="1" applyBorder="1" applyAlignment="1">
      <alignment horizontal="left" vertical="center" wrapText="1"/>
    </xf>
    <xf numFmtId="4" fontId="63" fillId="10" borderId="4" xfId="31" applyNumberFormat="1" applyFont="1" applyFill="1" applyBorder="1" applyAlignment="1">
      <alignment horizontal="left" vertical="center" wrapText="1"/>
    </xf>
    <xf numFmtId="0" fontId="63" fillId="0" borderId="0" xfId="0" applyFont="1" applyFill="1" applyAlignment="1">
      <alignment horizontal="left" vertical="center" wrapText="1"/>
    </xf>
    <xf numFmtId="0" fontId="63" fillId="10" borderId="4" xfId="0" applyFont="1" applyFill="1" applyBorder="1" applyAlignment="1">
      <alignment horizontal="left" vertical="center" wrapText="1"/>
    </xf>
    <xf numFmtId="0" fontId="63" fillId="10" borderId="1" xfId="0" applyFont="1" applyFill="1" applyBorder="1" applyAlignment="1">
      <alignment horizontal="right" vertical="center" wrapText="1"/>
    </xf>
    <xf numFmtId="0" fontId="63" fillId="10" borderId="5" xfId="0" applyFont="1" applyFill="1" applyBorder="1" applyAlignment="1">
      <alignment horizontal="left" vertical="center" wrapText="1"/>
    </xf>
    <xf numFmtId="0" fontId="0" fillId="0" borderId="30" xfId="0" applyBorder="1" applyAlignment="1">
      <alignment horizontal="center"/>
    </xf>
    <xf numFmtId="0" fontId="63" fillId="50" borderId="3" xfId="0" applyFont="1" applyFill="1" applyBorder="1" applyAlignment="1">
      <alignment horizontal="center" vertical="center" wrapText="1"/>
    </xf>
    <xf numFmtId="3" fontId="17" fillId="41" borderId="4" xfId="0" applyNumberFormat="1" applyFont="1" applyFill="1" applyBorder="1" applyAlignment="1">
      <alignment horizontal="center" vertical="top" wrapText="1"/>
    </xf>
    <xf numFmtId="0" fontId="0" fillId="0" borderId="30" xfId="0" applyBorder="1"/>
    <xf numFmtId="0" fontId="0" fillId="0" borderId="30" xfId="0" applyBorder="1" applyAlignment="1">
      <alignment horizontal="left" wrapText="1"/>
    </xf>
    <xf numFmtId="0" fontId="0" fillId="51" borderId="30" xfId="0" applyFill="1" applyBorder="1" applyAlignment="1">
      <alignment horizontal="center" wrapText="1"/>
    </xf>
    <xf numFmtId="0" fontId="17" fillId="41" borderId="4" xfId="0" quotePrefix="1" applyFont="1" applyFill="1" applyBorder="1" applyAlignment="1">
      <alignment horizontal="center" vertical="top" wrapText="1"/>
    </xf>
    <xf numFmtId="0" fontId="51" fillId="14" borderId="3" xfId="0" applyFont="1" applyFill="1" applyBorder="1" applyAlignment="1">
      <alignment horizontal="left" vertical="top" wrapText="1"/>
    </xf>
    <xf numFmtId="0" fontId="52" fillId="14" borderId="4" xfId="0" applyFont="1" applyFill="1" applyBorder="1" applyAlignment="1">
      <alignment horizontal="center" vertical="top" wrapText="1"/>
    </xf>
    <xf numFmtId="0" fontId="51" fillId="14" borderId="4" xfId="0" applyFont="1" applyFill="1" applyBorder="1" applyAlignment="1">
      <alignment vertical="top" wrapText="1"/>
    </xf>
    <xf numFmtId="0" fontId="51" fillId="14" borderId="1" xfId="0" applyFont="1" applyFill="1" applyBorder="1" applyAlignment="1">
      <alignment vertical="top" wrapText="1"/>
    </xf>
    <xf numFmtId="0" fontId="51" fillId="14" borderId="6" xfId="0" applyFont="1" applyFill="1" applyBorder="1" applyAlignment="1">
      <alignment vertical="top" wrapText="1"/>
    </xf>
    <xf numFmtId="0" fontId="51" fillId="14" borderId="7" xfId="0" applyFont="1" applyFill="1" applyBorder="1" applyAlignment="1">
      <alignment vertical="top" wrapText="1"/>
    </xf>
    <xf numFmtId="0" fontId="51" fillId="14" borderId="19" xfId="0" applyFont="1" applyFill="1" applyBorder="1" applyAlignment="1">
      <alignment vertical="top" wrapText="1"/>
    </xf>
    <xf numFmtId="0" fontId="52" fillId="14" borderId="4" xfId="0" applyFont="1" applyFill="1" applyBorder="1" applyAlignment="1">
      <alignment vertical="top" wrapText="1"/>
    </xf>
    <xf numFmtId="165" fontId="52" fillId="14" borderId="4" xfId="0" applyNumberFormat="1" applyFont="1" applyFill="1" applyBorder="1" applyAlignment="1">
      <alignment vertical="top" wrapText="1"/>
    </xf>
    <xf numFmtId="0" fontId="65" fillId="9" borderId="4" xfId="0" applyFont="1" applyFill="1" applyBorder="1" applyAlignment="1">
      <alignment vertical="top" wrapText="1"/>
    </xf>
    <xf numFmtId="0" fontId="28" fillId="0" borderId="25" xfId="0" applyFont="1" applyBorder="1" applyAlignment="1">
      <alignment horizontal="center" wrapText="1"/>
    </xf>
    <xf numFmtId="0" fontId="28" fillId="9" borderId="0" xfId="0" applyFont="1" applyFill="1" applyBorder="1" applyAlignment="1">
      <alignment wrapText="1"/>
    </xf>
    <xf numFmtId="2" fontId="28" fillId="0" borderId="0" xfId="0" applyNumberFormat="1" applyFont="1" applyBorder="1"/>
    <xf numFmtId="4" fontId="28" fillId="0" borderId="15" xfId="0" applyNumberFormat="1" applyFont="1" applyBorder="1"/>
    <xf numFmtId="0" fontId="28" fillId="0" borderId="15" xfId="0" applyFont="1" applyBorder="1"/>
    <xf numFmtId="4" fontId="28" fillId="9" borderId="29" xfId="0" applyNumberFormat="1" applyFont="1" applyFill="1" applyBorder="1" applyAlignment="1">
      <alignment horizontal="center" vertical="center" wrapText="1"/>
    </xf>
    <xf numFmtId="0" fontId="28" fillId="9" borderId="29" xfId="0" applyFont="1" applyFill="1" applyBorder="1" applyAlignment="1">
      <alignment horizontal="center" vertical="center" wrapText="1"/>
    </xf>
    <xf numFmtId="4" fontId="59" fillId="41" borderId="72" xfId="0" applyNumberFormat="1" applyFont="1" applyFill="1" applyBorder="1"/>
    <xf numFmtId="10" fontId="23" fillId="41" borderId="57" xfId="0" applyNumberFormat="1" applyFont="1" applyFill="1" applyBorder="1"/>
    <xf numFmtId="0" fontId="28" fillId="0" borderId="32" xfId="0" applyFont="1" applyBorder="1" applyAlignment="1">
      <alignment horizontal="center"/>
    </xf>
    <xf numFmtId="0" fontId="29" fillId="45" borderId="65" xfId="0" applyFont="1" applyFill="1" applyBorder="1" applyAlignment="1">
      <alignment horizontal="center"/>
    </xf>
    <xf numFmtId="0" fontId="29" fillId="45" borderId="30" xfId="0" applyFont="1" applyFill="1" applyBorder="1" applyAlignment="1">
      <alignment horizontal="center"/>
    </xf>
    <xf numFmtId="10" fontId="23" fillId="0" borderId="38" xfId="0" applyNumberFormat="1" applyFont="1" applyBorder="1"/>
    <xf numFmtId="4" fontId="21" fillId="0" borderId="108" xfId="0" applyNumberFormat="1" applyFont="1" applyBorder="1"/>
    <xf numFmtId="10" fontId="23" fillId="0" borderId="109" xfId="0" applyNumberFormat="1" applyFont="1" applyBorder="1"/>
    <xf numFmtId="4" fontId="48" fillId="0" borderId="110" xfId="0" applyNumberFormat="1" applyFont="1" applyBorder="1"/>
    <xf numFmtId="0" fontId="49" fillId="0" borderId="65" xfId="0" applyFont="1" applyBorder="1" applyAlignment="1">
      <alignment wrapText="1"/>
    </xf>
    <xf numFmtId="10" fontId="23" fillId="0" borderId="60" xfId="0" applyNumberFormat="1" applyFont="1" applyBorder="1"/>
    <xf numFmtId="4" fontId="21" fillId="0" borderId="71" xfId="0" applyNumberFormat="1" applyFont="1" applyBorder="1"/>
    <xf numFmtId="4" fontId="47" fillId="0" borderId="57" xfId="0" applyNumberFormat="1" applyFont="1" applyBorder="1"/>
    <xf numFmtId="10" fontId="23" fillId="0" borderId="59" xfId="0" applyNumberFormat="1" applyFont="1" applyBorder="1"/>
    <xf numFmtId="4" fontId="20" fillId="0" borderId="30" xfId="0" applyNumberFormat="1" applyFont="1" applyBorder="1"/>
    <xf numFmtId="10" fontId="21" fillId="0" borderId="30" xfId="0" applyNumberFormat="1" applyFont="1" applyBorder="1"/>
    <xf numFmtId="165" fontId="17" fillId="49" borderId="4" xfId="44" applyFont="1" applyFill="1" applyBorder="1" applyAlignment="1">
      <alignment horizontal="right" vertical="top" wrapText="1"/>
    </xf>
    <xf numFmtId="165" fontId="17" fillId="41" borderId="6" xfId="44" applyFont="1" applyFill="1" applyBorder="1" applyAlignment="1">
      <alignment horizontal="right" vertical="top" wrapText="1"/>
    </xf>
    <xf numFmtId="165" fontId="17" fillId="41" borderId="19" xfId="44" applyFont="1" applyFill="1" applyBorder="1" applyAlignment="1">
      <alignment horizontal="right" vertical="top" wrapText="1"/>
    </xf>
    <xf numFmtId="165" fontId="63" fillId="0" borderId="1" xfId="44" applyFont="1" applyBorder="1" applyAlignment="1">
      <alignment horizontal="right" vertical="top" wrapText="1"/>
    </xf>
    <xf numFmtId="165" fontId="63" fillId="0" borderId="3" xfId="44" applyFont="1" applyBorder="1" applyAlignment="1">
      <alignment horizontal="right" vertical="top" wrapText="1"/>
    </xf>
    <xf numFmtId="165" fontId="63" fillId="0" borderId="31" xfId="44" applyFont="1" applyBorder="1" applyAlignment="1">
      <alignment horizontal="right" vertical="top" wrapText="1"/>
    </xf>
    <xf numFmtId="3" fontId="63" fillId="10" borderId="4" xfId="0" applyNumberFormat="1" applyFont="1" applyFill="1" applyBorder="1" applyAlignment="1">
      <alignment horizontal="center" vertical="center" wrapText="1"/>
    </xf>
    <xf numFmtId="10" fontId="23" fillId="41" borderId="38" xfId="0" applyNumberFormat="1" applyFont="1" applyFill="1" applyBorder="1"/>
    <xf numFmtId="4" fontId="21" fillId="41" borderId="108" xfId="0" applyNumberFormat="1" applyFont="1" applyFill="1" applyBorder="1"/>
    <xf numFmtId="4" fontId="0" fillId="11" borderId="36" xfId="0" applyNumberFormat="1" applyFill="1" applyBorder="1" applyAlignment="1">
      <alignment horizontal="right"/>
    </xf>
    <xf numFmtId="0" fontId="13" fillId="42" borderId="67" xfId="0" applyFont="1" applyFill="1" applyBorder="1" applyAlignment="1">
      <alignment horizontal="center" vertical="top" wrapText="1"/>
    </xf>
    <xf numFmtId="0" fontId="51" fillId="0" borderId="4" xfId="0" applyFont="1" applyBorder="1" applyAlignment="1">
      <alignment horizontal="center" vertical="top" wrapText="1"/>
    </xf>
    <xf numFmtId="0" fontId="51" fillId="0" borderId="1" xfId="0" applyFont="1" applyBorder="1" applyAlignment="1">
      <alignment horizontal="center" vertical="top" wrapText="1"/>
    </xf>
    <xf numFmtId="0" fontId="13" fillId="9" borderId="4" xfId="0" applyFont="1" applyFill="1" applyBorder="1" applyAlignment="1">
      <alignment vertical="top" wrapText="1"/>
    </xf>
    <xf numFmtId="0" fontId="13" fillId="9" borderId="1" xfId="0" applyFont="1" applyFill="1" applyBorder="1" applyAlignment="1">
      <alignment vertical="top" wrapText="1"/>
    </xf>
    <xf numFmtId="165" fontId="13" fillId="9" borderId="4" xfId="44" applyFont="1" applyFill="1" applyBorder="1" applyAlignment="1">
      <alignment vertical="top" wrapText="1"/>
    </xf>
    <xf numFmtId="165" fontId="13" fillId="9" borderId="1" xfId="44" applyFont="1" applyFill="1" applyBorder="1" applyAlignment="1">
      <alignment vertical="top" wrapText="1"/>
    </xf>
    <xf numFmtId="165" fontId="13" fillId="9" borderId="6" xfId="44" applyFont="1" applyFill="1" applyBorder="1" applyAlignment="1">
      <alignment vertical="top" wrapText="1"/>
    </xf>
    <xf numFmtId="165" fontId="13" fillId="9" borderId="7" xfId="44" applyFont="1" applyFill="1" applyBorder="1" applyAlignment="1">
      <alignment vertical="top" wrapText="1"/>
    </xf>
    <xf numFmtId="165" fontId="13" fillId="9" borderId="19" xfId="44" applyFont="1" applyFill="1" applyBorder="1" applyAlignment="1">
      <alignment vertical="top" wrapText="1"/>
    </xf>
    <xf numFmtId="2" fontId="53" fillId="0" borderId="4" xfId="0" applyNumberFormat="1" applyFont="1" applyBorder="1" applyAlignment="1">
      <alignment horizontal="right" vertical="top" wrapText="1"/>
    </xf>
    <xf numFmtId="2" fontId="53" fillId="0" borderId="51" xfId="0" applyNumberFormat="1" applyFont="1" applyBorder="1" applyAlignment="1">
      <alignment horizontal="right" vertical="top" wrapText="1"/>
    </xf>
    <xf numFmtId="0" fontId="67" fillId="0" borderId="76" xfId="0" applyFont="1" applyBorder="1" applyAlignment="1">
      <alignment vertical="center"/>
    </xf>
    <xf numFmtId="0" fontId="68" fillId="0" borderId="69" xfId="0" applyFont="1" applyBorder="1" applyAlignment="1">
      <alignment horizontal="right" vertical="center"/>
    </xf>
    <xf numFmtId="10" fontId="69" fillId="0" borderId="77" xfId="0" applyNumberFormat="1" applyFont="1" applyBorder="1" applyAlignment="1">
      <alignment vertical="center"/>
    </xf>
    <xf numFmtId="0" fontId="67" fillId="0" borderId="10" xfId="0" applyFont="1" applyBorder="1" applyAlignment="1">
      <alignment vertical="center"/>
    </xf>
    <xf numFmtId="0" fontId="68" fillId="0" borderId="0" xfId="0" applyFont="1" applyBorder="1" applyAlignment="1">
      <alignment horizontal="right" vertical="center"/>
    </xf>
    <xf numFmtId="0" fontId="67" fillId="0" borderId="12" xfId="0" applyFont="1" applyBorder="1" applyAlignment="1">
      <alignment vertical="center"/>
    </xf>
    <xf numFmtId="0" fontId="69" fillId="0" borderId="36" xfId="0" applyFont="1" applyBorder="1" applyAlignment="1">
      <alignment vertical="center"/>
    </xf>
    <xf numFmtId="0" fontId="69" fillId="0" borderId="13" xfId="0" applyFont="1" applyBorder="1" applyAlignment="1">
      <alignment vertical="center"/>
    </xf>
    <xf numFmtId="0" fontId="68" fillId="52" borderId="30" xfId="0" applyFont="1" applyFill="1" applyBorder="1" applyAlignment="1">
      <alignment horizontal="center" vertical="center" wrapText="1"/>
    </xf>
    <xf numFmtId="0" fontId="68" fillId="52" borderId="30" xfId="0" applyFont="1" applyFill="1" applyBorder="1" applyAlignment="1">
      <alignment horizontal="center" vertical="center"/>
    </xf>
    <xf numFmtId="0" fontId="68" fillId="52" borderId="30" xfId="0" applyFont="1" applyFill="1" applyBorder="1" applyAlignment="1">
      <alignment vertical="center"/>
    </xf>
    <xf numFmtId="165" fontId="68" fillId="52" borderId="30" xfId="43" applyFont="1" applyFill="1" applyBorder="1" applyAlignment="1">
      <alignment vertical="center"/>
    </xf>
    <xf numFmtId="0" fontId="68" fillId="0" borderId="0" xfId="0" applyFont="1" applyAlignment="1">
      <alignment vertical="center"/>
    </xf>
    <xf numFmtId="0" fontId="69" fillId="52" borderId="30" xfId="0" applyFont="1" applyFill="1" applyBorder="1" applyAlignment="1">
      <alignment horizontal="center" vertical="center"/>
    </xf>
    <xf numFmtId="0" fontId="68" fillId="52" borderId="30" xfId="0" applyFont="1" applyFill="1" applyBorder="1" applyAlignment="1">
      <alignment vertical="center" wrapText="1"/>
    </xf>
    <xf numFmtId="0" fontId="69" fillId="52" borderId="30" xfId="0" applyFont="1" applyFill="1" applyBorder="1" applyAlignment="1">
      <alignment vertical="center"/>
    </xf>
    <xf numFmtId="165" fontId="69" fillId="52" borderId="30" xfId="43" applyFont="1" applyFill="1" applyBorder="1" applyAlignment="1">
      <alignment vertical="center"/>
    </xf>
    <xf numFmtId="0" fontId="69" fillId="0" borderId="0" xfId="0" applyFont="1" applyAlignment="1">
      <alignment vertical="center"/>
    </xf>
    <xf numFmtId="0" fontId="69" fillId="0" borderId="30" xfId="0" applyFont="1" applyBorder="1" applyAlignment="1">
      <alignment horizontal="center" vertical="center"/>
    </xf>
    <xf numFmtId="0" fontId="69" fillId="0" borderId="30" xfId="0" applyFont="1" applyBorder="1" applyAlignment="1">
      <alignment vertical="center" wrapText="1"/>
    </xf>
    <xf numFmtId="0" fontId="69" fillId="0" borderId="30" xfId="0" applyFont="1" applyBorder="1" applyAlignment="1">
      <alignment vertical="center"/>
    </xf>
    <xf numFmtId="165" fontId="69" fillId="0" borderId="30" xfId="43" applyFont="1" applyBorder="1" applyAlignment="1">
      <alignment vertical="center"/>
    </xf>
    <xf numFmtId="0" fontId="68" fillId="0" borderId="30" xfId="0" applyFont="1" applyBorder="1" applyAlignment="1">
      <alignment vertical="center" wrapText="1"/>
    </xf>
    <xf numFmtId="0" fontId="69" fillId="52" borderId="30" xfId="0" applyFont="1" applyFill="1" applyBorder="1" applyAlignment="1">
      <alignment vertical="center" wrapText="1"/>
    </xf>
    <xf numFmtId="0" fontId="69" fillId="0" borderId="30" xfId="0" applyFont="1" applyFill="1" applyBorder="1" applyAlignment="1">
      <alignment horizontal="center" vertical="center"/>
    </xf>
    <xf numFmtId="165" fontId="69" fillId="0" borderId="30" xfId="43" applyFont="1" applyFill="1" applyBorder="1" applyAlignment="1">
      <alignment vertical="center"/>
    </xf>
    <xf numFmtId="0" fontId="69" fillId="51" borderId="30" xfId="0" applyFont="1" applyFill="1" applyBorder="1" applyAlignment="1">
      <alignment vertical="center"/>
    </xf>
    <xf numFmtId="0" fontId="70" fillId="52" borderId="30" xfId="0" applyFont="1" applyFill="1" applyBorder="1" applyAlignment="1">
      <alignment horizontal="center" vertical="center" wrapText="1"/>
    </xf>
    <xf numFmtId="0" fontId="70" fillId="52" borderId="30" xfId="0" applyFont="1" applyFill="1" applyBorder="1" applyAlignment="1">
      <alignment horizontal="left" vertical="center" wrapText="1"/>
    </xf>
    <xf numFmtId="0" fontId="5" fillId="0" borderId="0" xfId="0" applyFont="1" applyAlignment="1">
      <alignment vertical="center" wrapText="1"/>
    </xf>
    <xf numFmtId="0" fontId="5" fillId="0" borderId="30" xfId="0" applyFont="1" applyBorder="1" applyAlignment="1">
      <alignment horizontal="center" vertical="center" wrapText="1"/>
    </xf>
    <xf numFmtId="49" fontId="5" fillId="42" borderId="30" xfId="0" quotePrefix="1" applyNumberFormat="1" applyFont="1" applyFill="1" applyBorder="1" applyAlignment="1">
      <alignment horizontal="center" vertical="center"/>
    </xf>
    <xf numFmtId="0" fontId="5" fillId="0" borderId="30" xfId="0" applyFont="1" applyBorder="1" applyAlignment="1">
      <alignment vertical="center" wrapText="1"/>
    </xf>
    <xf numFmtId="0" fontId="5" fillId="0" borderId="30" xfId="0" applyFont="1" applyFill="1" applyBorder="1" applyAlignment="1">
      <alignment horizontal="center" vertical="center"/>
    </xf>
    <xf numFmtId="49" fontId="5" fillId="42" borderId="30" xfId="0" applyNumberFormat="1" applyFont="1" applyFill="1" applyBorder="1" applyAlignment="1">
      <alignment horizontal="center" vertical="center"/>
    </xf>
    <xf numFmtId="165" fontId="5" fillId="0" borderId="72" xfId="43" applyFont="1" applyFill="1" applyBorder="1" applyAlignment="1">
      <alignment vertical="center"/>
    </xf>
    <xf numFmtId="0" fontId="69" fillId="0" borderId="0" xfId="0" applyFont="1" applyBorder="1" applyAlignment="1">
      <alignment horizontal="center" vertical="center"/>
    </xf>
    <xf numFmtId="0" fontId="69" fillId="0" borderId="0" xfId="0" applyFont="1" applyBorder="1" applyAlignment="1">
      <alignment vertical="center" wrapText="1"/>
    </xf>
    <xf numFmtId="0" fontId="69" fillId="0" borderId="0" xfId="0" applyFont="1" applyBorder="1" applyAlignment="1">
      <alignment vertical="center"/>
    </xf>
    <xf numFmtId="165" fontId="69" fillId="0" borderId="0" xfId="43" applyFont="1" applyBorder="1" applyAlignment="1">
      <alignment vertical="center"/>
    </xf>
    <xf numFmtId="0" fontId="5" fillId="0" borderId="0" xfId="0" applyFont="1" applyBorder="1" applyAlignment="1">
      <alignment vertical="center" wrapText="1"/>
    </xf>
    <xf numFmtId="0" fontId="69" fillId="0" borderId="30" xfId="0" quotePrefix="1" applyFont="1" applyBorder="1" applyAlignment="1">
      <alignment horizontal="center" vertical="center"/>
    </xf>
    <xf numFmtId="49" fontId="5" fillId="52" borderId="30" xfId="0" applyNumberFormat="1" applyFont="1" applyFill="1" applyBorder="1" applyAlignment="1">
      <alignment horizontal="center" vertical="center"/>
    </xf>
    <xf numFmtId="0" fontId="5" fillId="52" borderId="30" xfId="0" applyFont="1" applyFill="1" applyBorder="1" applyAlignment="1">
      <alignment horizontal="center" vertical="center"/>
    </xf>
    <xf numFmtId="0" fontId="70" fillId="52" borderId="30" xfId="0" applyFont="1" applyFill="1" applyBorder="1" applyAlignment="1">
      <alignment horizontal="center" vertical="center"/>
    </xf>
    <xf numFmtId="0" fontId="70" fillId="52" borderId="30" xfId="43" applyNumberFormat="1" applyFont="1" applyFill="1" applyBorder="1" applyAlignment="1">
      <alignment horizontal="right" vertical="center"/>
    </xf>
    <xf numFmtId="165" fontId="70" fillId="52" borderId="30" xfId="43" applyFont="1" applyFill="1" applyBorder="1" applyAlignment="1">
      <alignment horizontal="right" vertical="center"/>
    </xf>
    <xf numFmtId="165" fontId="70" fillId="52" borderId="30" xfId="43" applyFont="1" applyFill="1" applyBorder="1" applyAlignment="1">
      <alignment vertical="center"/>
    </xf>
    <xf numFmtId="43" fontId="5" fillId="52" borderId="30" xfId="0" applyNumberFormat="1" applyFont="1" applyFill="1" applyBorder="1" applyAlignment="1">
      <alignment vertical="center"/>
    </xf>
    <xf numFmtId="167" fontId="70" fillId="52" borderId="72" xfId="0" applyNumberFormat="1" applyFont="1" applyFill="1" applyBorder="1" applyAlignment="1" applyProtection="1">
      <alignment vertical="center"/>
      <protection hidden="1"/>
    </xf>
    <xf numFmtId="165" fontId="5" fillId="0" borderId="30" xfId="43" applyFont="1" applyBorder="1" applyAlignment="1">
      <alignment vertical="center" wrapText="1"/>
    </xf>
    <xf numFmtId="43" fontId="5" fillId="0" borderId="30" xfId="0" applyNumberFormat="1" applyFont="1" applyBorder="1" applyAlignment="1">
      <alignment vertical="center" wrapText="1"/>
    </xf>
    <xf numFmtId="0" fontId="5" fillId="0" borderId="0" xfId="0" applyFont="1" applyFill="1" applyBorder="1" applyAlignment="1">
      <alignment horizontal="center" vertical="center"/>
    </xf>
    <xf numFmtId="49" fontId="5" fillId="42" borderId="0" xfId="0" applyNumberFormat="1" applyFont="1" applyFill="1" applyBorder="1" applyAlignment="1">
      <alignment horizontal="center" vertical="center"/>
    </xf>
    <xf numFmtId="0" fontId="5" fillId="0" borderId="0" xfId="0" applyFont="1" applyBorder="1" applyAlignment="1">
      <alignment horizontal="center" vertical="center" wrapText="1"/>
    </xf>
    <xf numFmtId="165" fontId="5" fillId="0" borderId="0" xfId="43" applyFont="1" applyFill="1" applyBorder="1" applyAlignment="1">
      <alignment vertical="center"/>
    </xf>
    <xf numFmtId="43" fontId="5" fillId="0" borderId="0" xfId="0" applyNumberFormat="1" applyFont="1" applyBorder="1" applyAlignment="1">
      <alignment vertical="center" wrapText="1"/>
    </xf>
    <xf numFmtId="165" fontId="5" fillId="0" borderId="0" xfId="43" applyFont="1" applyBorder="1" applyAlignment="1">
      <alignment vertical="center" wrapText="1"/>
    </xf>
    <xf numFmtId="0" fontId="0" fillId="0" borderId="0" xfId="0" applyFill="1"/>
    <xf numFmtId="0" fontId="0" fillId="0" borderId="111" xfId="0" applyBorder="1"/>
    <xf numFmtId="0" fontId="0" fillId="0" borderId="112" xfId="0" applyBorder="1"/>
    <xf numFmtId="0" fontId="46" fillId="0" borderId="111" xfId="0" applyFont="1" applyBorder="1"/>
    <xf numFmtId="0" fontId="0" fillId="0" borderId="113" xfId="0" applyBorder="1"/>
    <xf numFmtId="43" fontId="0" fillId="0" borderId="95" xfId="0" applyNumberFormat="1" applyBorder="1"/>
    <xf numFmtId="43" fontId="0" fillId="0" borderId="112" xfId="0" applyNumberFormat="1" applyBorder="1"/>
    <xf numFmtId="0" fontId="0" fillId="51" borderId="0" xfId="0" applyFill="1"/>
    <xf numFmtId="0" fontId="0" fillId="0" borderId="14" xfId="0" applyBorder="1"/>
    <xf numFmtId="0" fontId="0" fillId="0" borderId="0" xfId="0" applyBorder="1"/>
    <xf numFmtId="0" fontId="0" fillId="0" borderId="15" xfId="0" applyBorder="1"/>
    <xf numFmtId="0" fontId="68" fillId="52" borderId="29" xfId="0" applyFont="1" applyFill="1" applyBorder="1" applyAlignment="1">
      <alignment horizontal="center" vertical="center" wrapText="1"/>
    </xf>
    <xf numFmtId="0" fontId="69" fillId="0" borderId="0" xfId="0" applyFont="1" applyAlignment="1">
      <alignment vertical="center" wrapText="1"/>
    </xf>
    <xf numFmtId="10" fontId="68" fillId="52" borderId="72" xfId="45" applyNumberFormat="1" applyFont="1" applyFill="1" applyBorder="1" applyAlignment="1">
      <alignment horizontal="center" vertical="center" wrapText="1"/>
    </xf>
    <xf numFmtId="0" fontId="69" fillId="52" borderId="118" xfId="0" applyFont="1" applyFill="1" applyBorder="1" applyAlignment="1">
      <alignment horizontal="center" vertical="center"/>
    </xf>
    <xf numFmtId="165" fontId="69" fillId="52" borderId="119" xfId="43" applyFont="1" applyFill="1" applyBorder="1" applyAlignment="1">
      <alignment vertical="center"/>
    </xf>
    <xf numFmtId="0" fontId="69" fillId="0" borderId="118" xfId="0" applyFont="1" applyBorder="1" applyAlignment="1">
      <alignment horizontal="center" vertical="center"/>
    </xf>
    <xf numFmtId="165" fontId="69" fillId="0" borderId="119" xfId="43" applyFont="1" applyBorder="1" applyAlignment="1">
      <alignment vertical="center"/>
    </xf>
    <xf numFmtId="0" fontId="69" fillId="0" borderId="14" xfId="0" applyFont="1" applyBorder="1" applyAlignment="1">
      <alignment horizontal="center" vertical="center"/>
    </xf>
    <xf numFmtId="0" fontId="69" fillId="51" borderId="0" xfId="0" applyFont="1" applyFill="1" applyBorder="1" applyAlignment="1">
      <alignment vertical="center"/>
    </xf>
    <xf numFmtId="165" fontId="69" fillId="0" borderId="15" xfId="43" applyFont="1" applyBorder="1" applyAlignment="1">
      <alignment vertical="center"/>
    </xf>
    <xf numFmtId="0" fontId="69" fillId="0" borderId="63" xfId="0" applyFont="1" applyBorder="1" applyAlignment="1">
      <alignment horizontal="center" vertical="center"/>
    </xf>
    <xf numFmtId="165" fontId="69" fillId="0" borderId="65" xfId="43" applyFont="1" applyBorder="1" applyAlignment="1">
      <alignment vertical="center"/>
    </xf>
    <xf numFmtId="0" fontId="70" fillId="52" borderId="30" xfId="0" applyFont="1" applyFill="1" applyBorder="1" applyAlignment="1" applyProtection="1">
      <alignment horizontal="center" vertical="center" wrapText="1"/>
      <protection hidden="1"/>
    </xf>
    <xf numFmtId="165" fontId="70" fillId="52" borderId="30" xfId="43" applyFont="1" applyFill="1" applyBorder="1" applyAlignment="1" applyProtection="1">
      <alignment horizontal="center" vertical="center" wrapText="1"/>
    </xf>
    <xf numFmtId="0" fontId="5" fillId="0" borderId="72" xfId="0" applyFont="1" applyFill="1" applyBorder="1" applyAlignment="1">
      <alignment horizontal="center" vertical="center"/>
    </xf>
    <xf numFmtId="49" fontId="5" fillId="0" borderId="30" xfId="0" applyNumberFormat="1" applyFont="1" applyBorder="1" applyAlignment="1">
      <alignment vertical="center" wrapText="1"/>
    </xf>
    <xf numFmtId="165" fontId="5" fillId="0" borderId="30" xfId="43" applyFont="1" applyFill="1" applyBorder="1" applyAlignment="1">
      <alignment vertical="center" wrapText="1"/>
    </xf>
    <xf numFmtId="165" fontId="5" fillId="0" borderId="0" xfId="43" applyFont="1" applyFill="1" applyBorder="1" applyAlignment="1">
      <alignment vertical="center" wrapText="1"/>
    </xf>
    <xf numFmtId="0" fontId="69" fillId="52" borderId="30" xfId="0" applyFont="1" applyFill="1" applyBorder="1" applyAlignment="1">
      <alignment horizontal="center" vertical="center" wrapText="1"/>
    </xf>
    <xf numFmtId="165" fontId="5" fillId="42" borderId="72" xfId="43" applyFont="1" applyFill="1" applyBorder="1" applyAlignment="1">
      <alignment vertical="center"/>
    </xf>
    <xf numFmtId="0" fontId="4" fillId="0" borderId="0" xfId="0" applyFont="1" applyFill="1" applyAlignment="1">
      <alignment vertical="center"/>
    </xf>
    <xf numFmtId="0" fontId="5" fillId="0" borderId="0" xfId="0" applyFont="1" applyFill="1" applyAlignment="1">
      <alignment vertical="center" wrapText="1"/>
    </xf>
    <xf numFmtId="0" fontId="16" fillId="9" borderId="10" xfId="0" applyFont="1" applyFill="1" applyBorder="1" applyAlignment="1">
      <alignment horizontal="center" wrapText="1"/>
    </xf>
    <xf numFmtId="0" fontId="22" fillId="0" borderId="11" xfId="0" applyFont="1" applyBorder="1"/>
    <xf numFmtId="0" fontId="12" fillId="9" borderId="12" xfId="0" applyFont="1" applyFill="1" applyBorder="1" applyAlignment="1">
      <alignment horizontal="center" wrapText="1"/>
    </xf>
    <xf numFmtId="0" fontId="12" fillId="9" borderId="36" xfId="0" applyFont="1" applyFill="1" applyBorder="1" applyAlignment="1">
      <alignment horizontal="left" wrapText="1"/>
    </xf>
    <xf numFmtId="0" fontId="25" fillId="9" borderId="36" xfId="0" applyFont="1" applyFill="1" applyBorder="1" applyAlignment="1">
      <alignment horizontal="center"/>
    </xf>
    <xf numFmtId="0" fontId="16" fillId="9" borderId="36" xfId="0" applyFont="1" applyFill="1" applyBorder="1" applyAlignment="1">
      <alignment horizontal="left"/>
    </xf>
    <xf numFmtId="0" fontId="25" fillId="9" borderId="36" xfId="0" applyFont="1" applyFill="1" applyBorder="1" applyAlignment="1">
      <alignment horizontal="center" vertical="center" wrapText="1"/>
    </xf>
    <xf numFmtId="0" fontId="12" fillId="9" borderId="36" xfId="0" applyNumberFormat="1" applyFont="1" applyFill="1" applyBorder="1" applyAlignment="1">
      <alignment horizontal="center" vertical="center" wrapText="1"/>
    </xf>
    <xf numFmtId="0" fontId="25" fillId="9" borderId="36" xfId="0" applyNumberFormat="1" applyFont="1" applyFill="1" applyBorder="1" applyAlignment="1">
      <alignment horizontal="center" vertical="center" wrapText="1"/>
    </xf>
    <xf numFmtId="4" fontId="16" fillId="9" borderId="36" xfId="0" applyNumberFormat="1" applyFont="1" applyFill="1" applyBorder="1" applyAlignment="1"/>
    <xf numFmtId="0" fontId="22" fillId="0" borderId="36" xfId="0" applyFont="1" applyBorder="1"/>
    <xf numFmtId="4" fontId="22" fillId="0" borderId="36" xfId="0" applyNumberFormat="1" applyFont="1" applyBorder="1"/>
    <xf numFmtId="0" fontId="22" fillId="0" borderId="13" xfId="0" applyFont="1" applyBorder="1"/>
    <xf numFmtId="165" fontId="17" fillId="9" borderId="5" xfId="44" applyFont="1" applyFill="1" applyBorder="1" applyAlignment="1">
      <alignment vertical="top" wrapText="1"/>
    </xf>
    <xf numFmtId="0" fontId="18" fillId="9" borderId="4" xfId="0" applyFont="1" applyFill="1" applyBorder="1" applyAlignment="1">
      <alignment vertical="top" wrapText="1"/>
    </xf>
    <xf numFmtId="0" fontId="29" fillId="0" borderId="3" xfId="0" applyFont="1" applyBorder="1" applyAlignment="1">
      <alignment horizontal="center"/>
    </xf>
    <xf numFmtId="0" fontId="68" fillId="52" borderId="30" xfId="0" applyFont="1" applyFill="1" applyBorder="1" applyAlignment="1">
      <alignment horizontal="center" vertical="center" wrapText="1"/>
    </xf>
    <xf numFmtId="165" fontId="68" fillId="52" borderId="30" xfId="44" applyFont="1" applyFill="1" applyBorder="1" applyAlignment="1">
      <alignment vertical="center"/>
    </xf>
    <xf numFmtId="165" fontId="69" fillId="52" borderId="30" xfId="44" applyFont="1" applyFill="1" applyBorder="1" applyAlignment="1">
      <alignment vertical="center"/>
    </xf>
    <xf numFmtId="165" fontId="69" fillId="0" borderId="30" xfId="44" applyFont="1" applyBorder="1" applyAlignment="1">
      <alignment vertical="center"/>
    </xf>
    <xf numFmtId="165" fontId="69" fillId="0" borderId="30" xfId="44" applyFont="1" applyFill="1" applyBorder="1" applyAlignment="1">
      <alignment vertical="center"/>
    </xf>
    <xf numFmtId="0" fontId="69" fillId="0" borderId="30" xfId="0" quotePrefix="1" applyFont="1" applyBorder="1" applyAlignment="1">
      <alignment vertical="center" wrapText="1"/>
    </xf>
    <xf numFmtId="165" fontId="70" fillId="42" borderId="30" xfId="44" applyFont="1" applyFill="1" applyBorder="1" applyAlignment="1">
      <alignment horizontal="right" vertical="center"/>
    </xf>
    <xf numFmtId="165" fontId="5" fillId="0" borderId="72" xfId="44" applyFont="1" applyFill="1" applyBorder="1" applyAlignment="1">
      <alignment vertical="center"/>
    </xf>
    <xf numFmtId="0" fontId="5" fillId="0" borderId="30" xfId="0" quotePrefix="1" applyFont="1" applyBorder="1" applyAlignment="1">
      <alignment vertical="center" wrapText="1"/>
    </xf>
    <xf numFmtId="165" fontId="69" fillId="0" borderId="0" xfId="44" applyFont="1" applyBorder="1" applyAlignment="1">
      <alignment vertical="center"/>
    </xf>
    <xf numFmtId="0" fontId="70" fillId="52" borderId="30" xfId="44" applyNumberFormat="1" applyFont="1" applyFill="1" applyBorder="1" applyAlignment="1">
      <alignment horizontal="right" vertical="center"/>
    </xf>
    <xf numFmtId="165" fontId="70" fillId="52" borderId="30" xfId="44" applyFont="1" applyFill="1" applyBorder="1" applyAlignment="1">
      <alignment horizontal="right" vertical="center"/>
    </xf>
    <xf numFmtId="165" fontId="5" fillId="52" borderId="30" xfId="44" applyFont="1" applyFill="1" applyBorder="1" applyAlignment="1">
      <alignment vertical="center" wrapText="1"/>
    </xf>
    <xf numFmtId="165" fontId="70" fillId="52" borderId="30" xfId="44" applyFont="1" applyFill="1" applyBorder="1" applyAlignment="1">
      <alignment vertical="center"/>
    </xf>
    <xf numFmtId="165" fontId="70" fillId="52" borderId="72" xfId="44" applyFont="1" applyFill="1" applyBorder="1" applyAlignment="1" applyProtection="1">
      <alignment vertical="center"/>
      <protection hidden="1"/>
    </xf>
    <xf numFmtId="165" fontId="5" fillId="0" borderId="30" xfId="44" applyFont="1" applyBorder="1" applyAlignment="1">
      <alignment vertical="center" wrapText="1"/>
    </xf>
    <xf numFmtId="165" fontId="70" fillId="0" borderId="30" xfId="44" applyFont="1" applyFill="1" applyBorder="1" applyAlignment="1">
      <alignment vertical="center"/>
    </xf>
    <xf numFmtId="165" fontId="5" fillId="0" borderId="0" xfId="44" applyFont="1" applyFill="1" applyBorder="1" applyAlignment="1">
      <alignment vertical="center"/>
    </xf>
    <xf numFmtId="165" fontId="70" fillId="0" borderId="0" xfId="44" applyFont="1" applyFill="1" applyBorder="1" applyAlignment="1">
      <alignment vertical="center"/>
    </xf>
    <xf numFmtId="165" fontId="5" fillId="0" borderId="0" xfId="44" applyFont="1" applyBorder="1" applyAlignment="1">
      <alignment vertical="center" wrapText="1"/>
    </xf>
    <xf numFmtId="10" fontId="29" fillId="0" borderId="0" xfId="0" applyNumberFormat="1" applyFont="1"/>
    <xf numFmtId="0" fontId="56" fillId="15" borderId="60" xfId="0" applyFont="1" applyFill="1" applyBorder="1" applyAlignment="1">
      <alignment horizontal="center"/>
    </xf>
    <xf numFmtId="0" fontId="56" fillId="15" borderId="71" xfId="0" applyFont="1" applyFill="1" applyBorder="1" applyAlignment="1">
      <alignment horizontal="center"/>
    </xf>
    <xf numFmtId="0" fontId="20" fillId="11" borderId="76" xfId="0" applyFont="1" applyFill="1" applyBorder="1" applyAlignment="1">
      <alignment horizontal="center"/>
    </xf>
    <xf numFmtId="0" fontId="20" fillId="11" borderId="69" xfId="0" applyFont="1" applyFill="1" applyBorder="1" applyAlignment="1">
      <alignment horizontal="center"/>
    </xf>
    <xf numFmtId="0" fontId="20" fillId="11" borderId="77" xfId="0" applyFont="1" applyFill="1" applyBorder="1" applyAlignment="1">
      <alignment horizontal="center"/>
    </xf>
    <xf numFmtId="0" fontId="20" fillId="11" borderId="10" xfId="0" applyFont="1" applyFill="1" applyBorder="1" applyAlignment="1">
      <alignment horizontal="center"/>
    </xf>
    <xf numFmtId="0" fontId="20" fillId="11" borderId="0" xfId="0" applyFont="1" applyFill="1" applyBorder="1" applyAlignment="1">
      <alignment horizontal="center"/>
    </xf>
    <xf numFmtId="0" fontId="20" fillId="11" borderId="11" xfId="0" applyFont="1" applyFill="1" applyBorder="1" applyAlignment="1">
      <alignment horizontal="center"/>
    </xf>
    <xf numFmtId="0" fontId="11" fillId="13" borderId="30" xfId="0" applyFont="1" applyFill="1" applyBorder="1" applyAlignment="1">
      <alignment horizontal="center" vertical="center" wrapText="1"/>
    </xf>
    <xf numFmtId="0" fontId="14" fillId="12" borderId="29" xfId="0" applyFont="1" applyFill="1" applyBorder="1" applyAlignment="1"/>
    <xf numFmtId="0" fontId="3" fillId="9" borderId="39" xfId="0" applyFont="1" applyFill="1" applyBorder="1" applyAlignment="1">
      <alignment horizontal="center" vertical="center" wrapText="1"/>
    </xf>
    <xf numFmtId="0" fontId="20" fillId="9" borderId="41" xfId="0" applyFont="1" applyFill="1" applyBorder="1" applyAlignment="1">
      <alignment horizontal="center" vertical="center"/>
    </xf>
    <xf numFmtId="0" fontId="20" fillId="9" borderId="78" xfId="0" applyFont="1" applyFill="1" applyBorder="1" applyAlignment="1">
      <alignment horizontal="center" vertical="center"/>
    </xf>
    <xf numFmtId="0" fontId="20" fillId="9" borderId="14" xfId="0" applyFont="1" applyFill="1" applyBorder="1" applyAlignment="1">
      <alignment horizontal="center" vertical="center"/>
    </xf>
    <xf numFmtId="0" fontId="20" fillId="9" borderId="0" xfId="0" applyFont="1" applyFill="1" applyBorder="1" applyAlignment="1">
      <alignment horizontal="center" vertical="center"/>
    </xf>
    <xf numFmtId="0" fontId="20" fillId="9" borderId="15" xfId="0" applyFont="1" applyFill="1" applyBorder="1" applyAlignment="1">
      <alignment horizontal="center" vertical="center"/>
    </xf>
    <xf numFmtId="0" fontId="14" fillId="12" borderId="29" xfId="0" applyFont="1" applyFill="1" applyBorder="1" applyAlignment="1">
      <alignment horizontal="center" wrapText="1"/>
    </xf>
    <xf numFmtId="0" fontId="18" fillId="13" borderId="29" xfId="0" applyFont="1" applyFill="1" applyBorder="1" applyAlignment="1">
      <alignment horizontal="center" vertical="center" wrapText="1"/>
    </xf>
    <xf numFmtId="0" fontId="17" fillId="12" borderId="64" xfId="0" applyFont="1" applyFill="1" applyBorder="1" applyAlignment="1">
      <alignment horizontal="center" wrapText="1"/>
    </xf>
    <xf numFmtId="0" fontId="11" fillId="13" borderId="30" xfId="0" applyFont="1" applyFill="1" applyBorder="1" applyAlignment="1">
      <alignment horizontal="left" vertical="center" wrapText="1"/>
    </xf>
    <xf numFmtId="0" fontId="14" fillId="12" borderId="29" xfId="0" applyFont="1" applyFill="1" applyBorder="1" applyAlignment="1">
      <alignment wrapText="1"/>
    </xf>
    <xf numFmtId="0" fontId="14" fillId="12" borderId="30" xfId="0" applyFont="1" applyFill="1" applyBorder="1" applyAlignment="1">
      <alignment horizontal="center" vertical="center" wrapText="1"/>
    </xf>
    <xf numFmtId="0" fontId="28" fillId="17" borderId="64" xfId="0" applyFont="1" applyFill="1" applyBorder="1" applyAlignment="1">
      <alignment horizontal="center" vertical="center" wrapText="1"/>
    </xf>
    <xf numFmtId="0" fontId="50" fillId="17" borderId="64" xfId="0" applyFont="1" applyFill="1" applyBorder="1" applyAlignment="1">
      <alignment horizontal="center" vertical="center"/>
    </xf>
    <xf numFmtId="0" fontId="50" fillId="0" borderId="72" xfId="0" applyFont="1" applyBorder="1" applyAlignment="1"/>
    <xf numFmtId="0" fontId="28" fillId="14" borderId="65" xfId="0" applyFont="1" applyFill="1" applyBorder="1" applyAlignment="1">
      <alignment horizontal="center"/>
    </xf>
    <xf numFmtId="0" fontId="28" fillId="14" borderId="66" xfId="0" applyFont="1" applyFill="1" applyBorder="1" applyAlignment="1">
      <alignment horizontal="center"/>
    </xf>
    <xf numFmtId="0" fontId="28" fillId="14" borderId="63" xfId="0" applyFont="1" applyFill="1" applyBorder="1" applyAlignment="1">
      <alignment horizontal="center"/>
    </xf>
    <xf numFmtId="0" fontId="28" fillId="17" borderId="29" xfId="0" applyFont="1" applyFill="1" applyBorder="1" applyAlignment="1">
      <alignment horizontal="center" vertical="center" wrapText="1"/>
    </xf>
    <xf numFmtId="0" fontId="28" fillId="45" borderId="29" xfId="0" applyFont="1" applyFill="1" applyBorder="1" applyAlignment="1">
      <alignment horizontal="center" vertical="center" wrapText="1"/>
    </xf>
    <xf numFmtId="0" fontId="50" fillId="0" borderId="72" xfId="0" applyFont="1" applyBorder="1" applyAlignment="1">
      <alignment horizontal="center" vertical="center" wrapText="1"/>
    </xf>
    <xf numFmtId="0" fontId="28" fillId="0" borderId="47" xfId="0" applyFont="1" applyBorder="1" applyAlignment="1">
      <alignment horizontal="center"/>
    </xf>
    <xf numFmtId="0" fontId="50" fillId="0" borderId="98" xfId="0" applyFont="1" applyBorder="1" applyAlignment="1">
      <alignment horizontal="center"/>
    </xf>
    <xf numFmtId="0" fontId="59" fillId="47" borderId="65" xfId="0" applyFont="1" applyFill="1" applyBorder="1" applyAlignment="1">
      <alignment horizontal="center" wrapText="1"/>
    </xf>
    <xf numFmtId="0" fontId="60" fillId="47" borderId="66" xfId="0" applyFont="1" applyFill="1" applyBorder="1" applyAlignment="1">
      <alignment horizontal="center" wrapText="1"/>
    </xf>
    <xf numFmtId="0" fontId="60" fillId="47" borderId="63" xfId="0" applyFont="1" applyFill="1" applyBorder="1" applyAlignment="1">
      <alignment horizontal="center" wrapText="1"/>
    </xf>
    <xf numFmtId="0" fontId="28" fillId="0" borderId="60" xfId="0" applyFont="1" applyBorder="1" applyAlignment="1">
      <alignment horizontal="center"/>
    </xf>
    <xf numFmtId="0" fontId="50" fillId="0" borderId="71" xfId="0" applyFont="1" applyBorder="1" applyAlignment="1">
      <alignment horizontal="center"/>
    </xf>
    <xf numFmtId="0" fontId="28" fillId="43" borderId="65" xfId="0" applyFont="1" applyFill="1" applyBorder="1" applyAlignment="1">
      <alignment horizontal="center"/>
    </xf>
    <xf numFmtId="0" fontId="50" fillId="43" borderId="66" xfId="0" applyFont="1" applyFill="1" applyBorder="1" applyAlignment="1">
      <alignment horizontal="center"/>
    </xf>
    <xf numFmtId="0" fontId="50" fillId="43" borderId="63" xfId="0" applyFont="1" applyFill="1" applyBorder="1" applyAlignment="1">
      <alignment horizontal="center"/>
    </xf>
    <xf numFmtId="0" fontId="21" fillId="16" borderId="65" xfId="0" applyFont="1" applyFill="1" applyBorder="1" applyAlignment="1">
      <alignment horizontal="center"/>
    </xf>
    <xf numFmtId="0" fontId="0" fillId="0" borderId="66" xfId="0" applyBorder="1" applyAlignment="1"/>
    <xf numFmtId="0" fontId="0" fillId="0" borderId="63" xfId="0" applyBorder="1" applyAlignment="1"/>
    <xf numFmtId="0" fontId="28" fillId="14" borderId="76" xfId="0" applyFont="1" applyFill="1" applyBorder="1" applyAlignment="1">
      <alignment horizontal="center"/>
    </xf>
    <xf numFmtId="0" fontId="28" fillId="14" borderId="69" xfId="0" applyFont="1" applyFill="1" applyBorder="1" applyAlignment="1">
      <alignment horizontal="center"/>
    </xf>
    <xf numFmtId="0" fontId="28" fillId="14" borderId="77" xfId="0" applyFont="1" applyFill="1" applyBorder="1" applyAlignment="1">
      <alignment horizontal="center"/>
    </xf>
    <xf numFmtId="0" fontId="28" fillId="45" borderId="64" xfId="0" applyFont="1" applyFill="1" applyBorder="1" applyAlignment="1">
      <alignment horizontal="center" vertical="center" wrapText="1"/>
    </xf>
    <xf numFmtId="0" fontId="28" fillId="9" borderId="38" xfId="0" applyFont="1" applyFill="1" applyBorder="1" applyAlignment="1">
      <alignment wrapText="1"/>
    </xf>
    <xf numFmtId="0" fontId="0" fillId="0" borderId="47" xfId="0" applyBorder="1" applyAlignment="1">
      <alignment wrapText="1"/>
    </xf>
    <xf numFmtId="0" fontId="0" fillId="0" borderId="107" xfId="0" applyBorder="1" applyAlignment="1">
      <alignment wrapText="1"/>
    </xf>
    <xf numFmtId="0" fontId="62" fillId="0" borderId="65" xfId="0" applyFont="1" applyBorder="1" applyAlignment="1">
      <alignment horizontal="center"/>
    </xf>
    <xf numFmtId="0" fontId="66" fillId="0" borderId="66" xfId="0" applyFont="1" applyBorder="1" applyAlignment="1">
      <alignment horizontal="center"/>
    </xf>
    <xf numFmtId="0" fontId="66" fillId="0" borderId="63" xfId="0" applyFont="1" applyBorder="1" applyAlignment="1">
      <alignment horizontal="center"/>
    </xf>
    <xf numFmtId="0" fontId="3" fillId="14" borderId="76" xfId="0" applyFont="1" applyFill="1" applyBorder="1" applyAlignment="1">
      <alignment horizontal="center" vertical="center" wrapText="1"/>
    </xf>
    <xf numFmtId="0" fontId="20" fillId="14" borderId="69" xfId="0" applyFont="1" applyFill="1" applyBorder="1" applyAlignment="1">
      <alignment horizontal="center" vertical="center"/>
    </xf>
    <xf numFmtId="0" fontId="0" fillId="14" borderId="69" xfId="0" applyFill="1" applyBorder="1" applyAlignment="1"/>
    <xf numFmtId="0" fontId="0" fillId="14" borderId="77" xfId="0" applyFill="1" applyBorder="1" applyAlignment="1"/>
    <xf numFmtId="0" fontId="20" fillId="14" borderId="10" xfId="0" applyFont="1" applyFill="1" applyBorder="1" applyAlignment="1">
      <alignment horizontal="center" vertical="center"/>
    </xf>
    <xf numFmtId="0" fontId="20" fillId="14" borderId="0" xfId="0" applyFont="1" applyFill="1" applyBorder="1" applyAlignment="1">
      <alignment horizontal="center" vertical="center"/>
    </xf>
    <xf numFmtId="0" fontId="0" fillId="14" borderId="0" xfId="0" applyFill="1" applyBorder="1" applyAlignment="1"/>
    <xf numFmtId="0" fontId="0" fillId="14" borderId="11" xfId="0" applyFill="1" applyBorder="1" applyAlignment="1"/>
    <xf numFmtId="0" fontId="0" fillId="14" borderId="12" xfId="0" applyFill="1" applyBorder="1" applyAlignment="1"/>
    <xf numFmtId="0" fontId="0" fillId="14" borderId="36" xfId="0" applyFill="1" applyBorder="1" applyAlignment="1"/>
    <xf numFmtId="0" fontId="0" fillId="14" borderId="13" xfId="0" applyFill="1" applyBorder="1" applyAlignment="1"/>
    <xf numFmtId="0" fontId="0" fillId="0" borderId="30" xfId="0" applyBorder="1" applyAlignment="1">
      <alignment horizontal="center"/>
    </xf>
    <xf numFmtId="0" fontId="68" fillId="52" borderId="29" xfId="0" applyFont="1" applyFill="1" applyBorder="1" applyAlignment="1">
      <alignment horizontal="center" vertical="center" wrapText="1"/>
    </xf>
    <xf numFmtId="0" fontId="68" fillId="52" borderId="72" xfId="0" applyFont="1" applyFill="1" applyBorder="1" applyAlignment="1">
      <alignment horizontal="center" vertical="center" wrapText="1"/>
    </xf>
    <xf numFmtId="165" fontId="68" fillId="52" borderId="29" xfId="44" applyFont="1" applyFill="1" applyBorder="1" applyAlignment="1">
      <alignment horizontal="center" vertical="center" wrapText="1"/>
    </xf>
    <xf numFmtId="165" fontId="68" fillId="52" borderId="72" xfId="44" applyFont="1" applyFill="1" applyBorder="1" applyAlignment="1">
      <alignment horizontal="center" vertical="center" wrapText="1"/>
    </xf>
    <xf numFmtId="0" fontId="68" fillId="52" borderId="30" xfId="0" applyFont="1" applyFill="1" applyBorder="1" applyAlignment="1">
      <alignment horizontal="center" vertical="center" wrapText="1"/>
    </xf>
    <xf numFmtId="17" fontId="68" fillId="0" borderId="36" xfId="0" applyNumberFormat="1" applyFont="1" applyBorder="1" applyAlignment="1">
      <alignment horizontal="left" vertical="center"/>
    </xf>
    <xf numFmtId="0" fontId="68" fillId="0" borderId="36" xfId="0" applyFont="1" applyBorder="1" applyAlignment="1">
      <alignment horizontal="left" vertical="center"/>
    </xf>
    <xf numFmtId="0" fontId="67" fillId="0" borderId="76" xfId="0" applyFont="1" applyBorder="1" applyAlignment="1">
      <alignment horizontal="center" vertical="center"/>
    </xf>
    <xf numFmtId="0" fontId="67" fillId="0" borderId="69" xfId="0" applyFont="1" applyBorder="1" applyAlignment="1">
      <alignment horizontal="center" vertical="center"/>
    </xf>
    <xf numFmtId="0" fontId="67" fillId="0" borderId="77" xfId="0" applyFont="1" applyBorder="1" applyAlignment="1">
      <alignment horizontal="center" vertical="center"/>
    </xf>
    <xf numFmtId="0" fontId="67" fillId="0" borderId="10" xfId="0" applyFont="1" applyBorder="1" applyAlignment="1">
      <alignment horizontal="center" vertical="center"/>
    </xf>
    <xf numFmtId="0" fontId="67" fillId="0" borderId="0" xfId="0" applyFont="1" applyBorder="1" applyAlignment="1">
      <alignment horizontal="center" vertical="center"/>
    </xf>
    <xf numFmtId="0" fontId="67" fillId="0" borderId="11" xfId="0" applyFont="1" applyBorder="1" applyAlignment="1">
      <alignment horizontal="center" vertical="center"/>
    </xf>
    <xf numFmtId="0" fontId="68" fillId="0" borderId="69" xfId="0" applyFont="1" applyBorder="1" applyAlignment="1">
      <alignment horizontal="left" vertical="center"/>
    </xf>
    <xf numFmtId="0" fontId="68" fillId="0" borderId="0" xfId="0" applyFont="1" applyBorder="1" applyAlignment="1">
      <alignment horizontal="left" vertical="center"/>
    </xf>
    <xf numFmtId="0" fontId="68" fillId="52" borderId="115" xfId="0" applyFont="1" applyFill="1" applyBorder="1" applyAlignment="1">
      <alignment horizontal="center" vertical="center" wrapText="1"/>
    </xf>
    <xf numFmtId="0" fontId="68" fillId="52" borderId="117" xfId="0" applyFont="1" applyFill="1" applyBorder="1" applyAlignment="1">
      <alignment horizontal="center" vertical="center" wrapText="1"/>
    </xf>
    <xf numFmtId="0" fontId="68" fillId="52" borderId="114" xfId="0" applyFont="1" applyFill="1" applyBorder="1" applyAlignment="1">
      <alignment horizontal="center" vertical="center" wrapText="1"/>
    </xf>
    <xf numFmtId="0" fontId="68" fillId="52" borderId="116" xfId="0" applyFont="1" applyFill="1" applyBorder="1" applyAlignment="1">
      <alignment horizontal="center" vertical="center" wrapText="1"/>
    </xf>
    <xf numFmtId="165" fontId="68" fillId="52" borderId="29" xfId="43" applyFont="1" applyFill="1" applyBorder="1" applyAlignment="1">
      <alignment horizontal="center" vertical="center" wrapText="1"/>
    </xf>
    <xf numFmtId="165" fontId="68" fillId="52" borderId="72" xfId="43" applyFont="1" applyFill="1" applyBorder="1" applyAlignment="1">
      <alignment horizontal="center" vertical="center" wrapText="1"/>
    </xf>
    <xf numFmtId="0" fontId="67" fillId="0" borderId="39" xfId="0" applyFont="1" applyBorder="1" applyAlignment="1">
      <alignment horizontal="center" vertical="center"/>
    </xf>
    <xf numFmtId="0" fontId="67" fillId="0" borderId="41" xfId="0" applyFont="1" applyBorder="1" applyAlignment="1">
      <alignment horizontal="center" vertical="center"/>
    </xf>
    <xf numFmtId="0" fontId="67" fillId="0" borderId="78" xfId="0" applyFont="1" applyBorder="1" applyAlignment="1">
      <alignment horizontal="center" vertical="center"/>
    </xf>
    <xf numFmtId="0" fontId="67" fillId="0" borderId="14" xfId="0" applyFont="1" applyBorder="1" applyAlignment="1">
      <alignment horizontal="center" vertical="center"/>
    </xf>
    <xf numFmtId="0" fontId="67" fillId="0" borderId="15" xfId="0" applyFont="1" applyBorder="1" applyAlignment="1">
      <alignment horizontal="center" vertical="center"/>
    </xf>
    <xf numFmtId="0" fontId="67" fillId="0" borderId="16" xfId="0" applyFont="1" applyBorder="1" applyAlignment="1">
      <alignment horizontal="center" vertical="center"/>
    </xf>
    <xf numFmtId="0" fontId="67" fillId="0" borderId="17" xfId="0" applyFont="1" applyBorder="1" applyAlignment="1">
      <alignment horizontal="center" vertical="center"/>
    </xf>
    <xf numFmtId="0" fontId="67" fillId="0" borderId="18" xfId="0" applyFont="1" applyBorder="1" applyAlignment="1">
      <alignment horizontal="center" vertical="center"/>
    </xf>
    <xf numFmtId="0" fontId="67" fillId="0" borderId="111" xfId="0" applyFont="1" applyBorder="1" applyAlignment="1">
      <alignment horizontal="center" vertical="center"/>
    </xf>
    <xf numFmtId="0" fontId="67" fillId="0" borderId="112" xfId="0" applyFont="1" applyBorder="1" applyAlignment="1">
      <alignment horizontal="center" vertical="center"/>
    </xf>
    <xf numFmtId="0" fontId="67" fillId="0" borderId="113" xfId="0" applyFont="1" applyBorder="1" applyAlignment="1">
      <alignment horizontal="center" vertical="center"/>
    </xf>
    <xf numFmtId="0" fontId="64" fillId="0" borderId="65" xfId="0" applyFont="1" applyBorder="1" applyAlignment="1">
      <alignment horizontal="center"/>
    </xf>
    <xf numFmtId="0" fontId="64" fillId="0" borderId="66" xfId="0" applyFont="1" applyBorder="1" applyAlignment="1">
      <alignment horizontal="center"/>
    </xf>
    <xf numFmtId="0" fontId="64" fillId="0" borderId="63" xfId="0" applyFont="1" applyBorder="1" applyAlignment="1">
      <alignment horizontal="center"/>
    </xf>
  </cellXfs>
  <cellStyles count="46">
    <cellStyle name="20% - Ênfase1" xfId="1" builtinId="30" customBuiltin="1"/>
    <cellStyle name="20% - Ênfase2" xfId="2" builtinId="34" customBuiltin="1"/>
    <cellStyle name="20% - Ênfase3" xfId="3" builtinId="38" customBuiltin="1"/>
    <cellStyle name="20% - Ênfase4" xfId="4" builtinId="42" customBuiltin="1"/>
    <cellStyle name="20% - Ênfase5" xfId="5" builtinId="46" customBuiltin="1"/>
    <cellStyle name="20% - Ênfase6" xfId="6" builtinId="50" customBuiltin="1"/>
    <cellStyle name="40% - Ênfase1" xfId="7" builtinId="31" customBuiltin="1"/>
    <cellStyle name="40% - Ênfase2" xfId="8" builtinId="35" customBuiltin="1"/>
    <cellStyle name="40% - Ênfase3" xfId="9" builtinId="39" customBuiltin="1"/>
    <cellStyle name="40% - Ênfase4" xfId="10" builtinId="43" customBuiltin="1"/>
    <cellStyle name="40% - Ênfase5" xfId="11" builtinId="47" customBuiltin="1"/>
    <cellStyle name="40% - Ênfase6" xfId="12" builtinId="51" customBuiltin="1"/>
    <cellStyle name="60% - Ênfase1" xfId="13" builtinId="32" customBuiltin="1"/>
    <cellStyle name="60% - Ênfase2" xfId="14" builtinId="36" customBuiltin="1"/>
    <cellStyle name="60% - Ênfase3" xfId="15" builtinId="40" customBuiltin="1"/>
    <cellStyle name="60% - Ênfase4" xfId="16" builtinId="44" customBuiltin="1"/>
    <cellStyle name="60% - Ênfase5" xfId="17" builtinId="48" customBuiltin="1"/>
    <cellStyle name="60% - Ênfase6" xfId="18" builtinId="52" customBuiltin="1"/>
    <cellStyle name="Bom" xfId="19" builtinId="26" customBuiltin="1"/>
    <cellStyle name="Cálculo" xfId="20" builtinId="22" customBuiltin="1"/>
    <cellStyle name="Célula de Verificação" xfId="21" builtinId="23" customBuiltin="1"/>
    <cellStyle name="Célula Vinculada" xfId="22" builtinId="24" customBuiltin="1"/>
    <cellStyle name="Ênfase1" xfId="23" builtinId="29" customBuiltin="1"/>
    <cellStyle name="Ênfase2" xfId="24" builtinId="33" customBuiltin="1"/>
    <cellStyle name="Ênfase3" xfId="25" builtinId="37" customBuiltin="1"/>
    <cellStyle name="Ênfase4" xfId="26" builtinId="41" customBuiltin="1"/>
    <cellStyle name="Ênfase5" xfId="27" builtinId="45" customBuiltin="1"/>
    <cellStyle name="Ênfase6" xfId="28" builtinId="49" customBuiltin="1"/>
    <cellStyle name="Entrada" xfId="29" builtinId="20" customBuiltin="1"/>
    <cellStyle name="Incorreto" xfId="30" builtinId="27" customBuiltin="1"/>
    <cellStyle name="Moeda" xfId="31" builtinId="4"/>
    <cellStyle name="Neutra" xfId="32" builtinId="28" customBuiltin="1"/>
    <cellStyle name="Normal" xfId="0" builtinId="0"/>
    <cellStyle name="Nota" xfId="33" builtinId="10" customBuiltin="1"/>
    <cellStyle name="Porcentagem" xfId="45" builtinId="5"/>
    <cellStyle name="Saída" xfId="34" builtinId="21" customBuiltin="1"/>
    <cellStyle name="Texto de Aviso" xfId="35" builtinId="11" customBuiltin="1"/>
    <cellStyle name="Texto Explicativo" xfId="36" builtinId="53" customBuiltin="1"/>
    <cellStyle name="Título" xfId="37" builtinId="15" customBuiltin="1"/>
    <cellStyle name="Título 1" xfId="38" builtinId="16" customBuiltin="1"/>
    <cellStyle name="Título 2" xfId="39" builtinId="17" customBuiltin="1"/>
    <cellStyle name="Título 3" xfId="40" builtinId="18" customBuiltin="1"/>
    <cellStyle name="Título 4" xfId="41" builtinId="19" customBuiltin="1"/>
    <cellStyle name="Total" xfId="42" builtinId="25" customBuiltin="1"/>
    <cellStyle name="Vírgula" xfId="43" builtinId="3"/>
    <cellStyle name="Vírgula 2" xfId="44"/>
  </cellStyles>
  <dxfs count="1638">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patternType="solid">
          <fgColor indexed="31"/>
          <bgColor indexed="2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51"/>
          <bgColor indexed="52"/>
        </patternFill>
      </fill>
    </dxf>
    <dxf>
      <fill>
        <patternFill>
          <bgColor indexed="47"/>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bgColor indexed="47"/>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bgColor indexed="47"/>
        </patternFill>
      </fill>
    </dxf>
    <dxf>
      <fill>
        <patternFill patternType="solid">
          <fgColor indexed="51"/>
          <bgColor indexed="52"/>
        </patternFill>
      </fill>
    </dxf>
    <dxf>
      <fill>
        <patternFill patternType="solid">
          <fgColor indexed="31"/>
          <bgColor indexed="22"/>
        </patternFill>
      </fill>
    </dxf>
    <dxf>
      <fill>
        <patternFill>
          <bgColor indexed="47"/>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bgColor indexed="47"/>
        </patternFill>
      </fill>
    </dxf>
    <dxf>
      <fill>
        <patternFill patternType="solid">
          <fgColor indexed="51"/>
          <bgColor indexed="52"/>
        </patternFill>
      </fill>
    </dxf>
    <dxf>
      <fill>
        <patternFill patternType="solid">
          <fgColor indexed="31"/>
          <bgColor indexed="22"/>
        </patternFill>
      </fill>
    </dxf>
    <dxf>
      <fill>
        <patternFill patternType="solid">
          <fgColor indexed="51"/>
          <bgColor indexed="52"/>
        </patternFill>
      </fill>
    </dxf>
    <dxf>
      <fill>
        <patternFill patternType="solid">
          <fgColor indexed="31"/>
          <bgColor indexed="22"/>
        </patternFill>
      </fill>
    </dxf>
    <dxf>
      <fill>
        <patternFill>
          <bgColor indexed="47"/>
        </patternFill>
      </fill>
    </dxf>
    <dxf>
      <fill>
        <patternFill patternType="solid">
          <fgColor indexed="51"/>
          <bgColor indexed="52"/>
        </patternFill>
      </fill>
    </dxf>
    <dxf>
      <fill>
        <patternFill patternType="solid">
          <fgColor indexed="31"/>
          <bgColor indexed="22"/>
        </patternFill>
      </fill>
    </dxf>
  </dxfs>
  <tableStyles count="0" defaultTableStyle="TableStyleMedium2" defaultPivotStyle="PivotStyleLight16"/>
  <colors>
    <mruColors>
      <color rgb="FFFFFFCC"/>
      <color rgb="FFCC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6"/>
  <sheetViews>
    <sheetView tabSelected="1" topLeftCell="A40" zoomScale="85" zoomScaleNormal="85" workbookViewId="0">
      <selection activeCell="F25" sqref="F25"/>
    </sheetView>
  </sheetViews>
  <sheetFormatPr defaultRowHeight="18.75" x14ac:dyDescent="0.3"/>
  <cols>
    <col min="1" max="1" width="13.5703125" customWidth="1"/>
    <col min="2" max="2" width="63.28515625" customWidth="1"/>
    <col min="3" max="3" width="19.140625" style="36" customWidth="1"/>
    <col min="4" max="4" width="12.5703125" style="38" customWidth="1"/>
    <col min="5" max="5" width="12.140625" customWidth="1"/>
    <col min="6" max="6" width="10.140625" bestFit="1" customWidth="1"/>
  </cols>
  <sheetData>
    <row r="1" spans="1:4" s="37" customFormat="1" x14ac:dyDescent="0.3">
      <c r="A1" s="761" t="s">
        <v>240</v>
      </c>
      <c r="B1" s="762"/>
      <c r="C1" s="762"/>
      <c r="D1" s="763"/>
    </row>
    <row r="2" spans="1:4" s="37" customFormat="1" x14ac:dyDescent="0.3">
      <c r="A2" s="764" t="s">
        <v>5</v>
      </c>
      <c r="B2" s="765"/>
      <c r="C2" s="765"/>
      <c r="D2" s="766"/>
    </row>
    <row r="3" spans="1:4" s="37" customFormat="1" x14ac:dyDescent="0.3">
      <c r="A3" s="39"/>
      <c r="B3" s="765"/>
      <c r="C3" s="765"/>
      <c r="D3" s="766"/>
    </row>
    <row r="4" spans="1:4" s="37" customFormat="1" x14ac:dyDescent="0.3">
      <c r="A4" s="764" t="s">
        <v>107</v>
      </c>
      <c r="B4" s="765"/>
      <c r="C4" s="765"/>
      <c r="D4" s="766"/>
    </row>
    <row r="5" spans="1:4" x14ac:dyDescent="0.3">
      <c r="A5" s="764"/>
      <c r="B5" s="765"/>
      <c r="C5" s="765"/>
      <c r="D5" s="766"/>
    </row>
    <row r="6" spans="1:4" x14ac:dyDescent="0.3">
      <c r="A6" s="40" t="str">
        <f>ANALÍTICO!B6</f>
        <v>OBRA:</v>
      </c>
      <c r="B6" s="41" t="s">
        <v>240</v>
      </c>
      <c r="C6" s="45"/>
      <c r="D6" s="42"/>
    </row>
    <row r="7" spans="1:4" x14ac:dyDescent="0.3">
      <c r="A7" s="40" t="str">
        <f>ANALÍTICO!B7</f>
        <v>ENDEREÇO:</v>
      </c>
      <c r="B7" s="41" t="s">
        <v>241</v>
      </c>
      <c r="C7" s="45"/>
      <c r="D7" s="42"/>
    </row>
    <row r="8" spans="1:4" x14ac:dyDescent="0.3">
      <c r="A8" s="40" t="str">
        <f>ANALÍTICO!B8</f>
        <v>LOCAL:</v>
      </c>
      <c r="B8" s="41" t="s">
        <v>242</v>
      </c>
      <c r="C8" s="45"/>
      <c r="D8" s="42"/>
    </row>
    <row r="9" spans="1:4" ht="15" x14ac:dyDescent="0.25">
      <c r="A9" s="43"/>
      <c r="B9" s="618" t="s">
        <v>68</v>
      </c>
      <c r="C9" s="161">
        <v>27.08</v>
      </c>
      <c r="D9" s="44"/>
    </row>
    <row r="10" spans="1:4" x14ac:dyDescent="0.3">
      <c r="B10" s="10"/>
    </row>
    <row r="11" spans="1:4" ht="37.5" x14ac:dyDescent="0.3">
      <c r="A11" s="348" t="s">
        <v>71</v>
      </c>
      <c r="B11" s="349" t="s">
        <v>108</v>
      </c>
      <c r="C11" s="350" t="s">
        <v>1450</v>
      </c>
      <c r="D11" s="351" t="s">
        <v>110</v>
      </c>
    </row>
    <row r="12" spans="1:4" x14ac:dyDescent="0.25">
      <c r="A12" s="340">
        <f>ANALÍTICO!C14</f>
        <v>1</v>
      </c>
      <c r="B12" s="341" t="str">
        <f>ANALÍTICO!D14</f>
        <v>ADMINISTRAÇÃO DE OBRA E SERVIÇOS INICIAIS</v>
      </c>
      <c r="C12" s="342">
        <f>ANALÍTICO!O14</f>
        <v>18641.721023999999</v>
      </c>
      <c r="D12" s="343">
        <f>C12/$C$50</f>
        <v>4.1998008066253617E-2</v>
      </c>
    </row>
    <row r="13" spans="1:4" x14ac:dyDescent="0.25">
      <c r="A13" s="340">
        <f>ANALÍTICO!C28</f>
        <v>2</v>
      </c>
      <c r="B13" s="341" t="str">
        <f>ANALÍTICO!D28</f>
        <v>INSTALAÇÃO DO CANTEIRO DE OBRAS</v>
      </c>
      <c r="C13" s="342">
        <f>ANALÍTICO!O28</f>
        <v>11476.518552</v>
      </c>
      <c r="D13" s="343">
        <f>C13/$C$50</f>
        <v>2.5855494677711002E-2</v>
      </c>
    </row>
    <row r="14" spans="1:4" x14ac:dyDescent="0.25">
      <c r="A14" s="344">
        <f>ANALÍTICO!C58</f>
        <v>3</v>
      </c>
      <c r="B14" s="345" t="str">
        <f>ANALÍTICO!D58</f>
        <v>PAVIMENTO TÉRREO CASARÃO - cozinha e banheiros</v>
      </c>
      <c r="C14" s="346">
        <f>ANALÍTICO!O58</f>
        <v>86810.823581940014</v>
      </c>
      <c r="D14" s="347">
        <f>C14/$C$50</f>
        <v>0.19557645264289716</v>
      </c>
    </row>
    <row r="15" spans="1:4" ht="15" x14ac:dyDescent="0.25">
      <c r="A15" s="267" t="str">
        <f>ANALÍTICO!C60</f>
        <v>3.1</v>
      </c>
      <c r="B15" s="268" t="str">
        <f>ANALÍTICO!D60</f>
        <v>DEMOLIÇÕES</v>
      </c>
      <c r="C15" s="269">
        <f>ANALÍTICO!O60</f>
        <v>6472.1636859599994</v>
      </c>
      <c r="D15" s="270">
        <f>C15/$C$14</f>
        <v>7.4554801105543925E-2</v>
      </c>
    </row>
    <row r="16" spans="1:4" ht="15" x14ac:dyDescent="0.25">
      <c r="A16" s="267" t="str">
        <f>ANALÍTICO!C102</f>
        <v>3.2</v>
      </c>
      <c r="B16" s="268" t="str">
        <f>ANALÍTICO!D102</f>
        <v>SUPRA-ESTRUTURA</v>
      </c>
      <c r="C16" s="269">
        <f>ANALÍTICO!O102</f>
        <v>727.15137876000006</v>
      </c>
      <c r="D16" s="270">
        <f t="shared" ref="D16:D25" si="0">C16/$C$14</f>
        <v>8.3762755467196772E-3</v>
      </c>
    </row>
    <row r="17" spans="1:4" ht="15" x14ac:dyDescent="0.25">
      <c r="A17" s="267" t="str">
        <f>ANALÍTICO!C137</f>
        <v>3.3</v>
      </c>
      <c r="B17" s="268" t="str">
        <f>ANALÍTICO!D137</f>
        <v>PAREDES E PAINÉIS</v>
      </c>
      <c r="C17" s="269">
        <f>ANALÍTICO!O137</f>
        <v>15495.676123499999</v>
      </c>
      <c r="D17" s="270">
        <f t="shared" si="0"/>
        <v>0.17849935623377378</v>
      </c>
    </row>
    <row r="18" spans="1:4" ht="15" x14ac:dyDescent="0.25">
      <c r="A18" s="267" t="str">
        <f>ANALÍTICO!C149</f>
        <v>3.4</v>
      </c>
      <c r="B18" s="268" t="str">
        <f>ANALÍTICO!D149</f>
        <v>ESQUADRIAS</v>
      </c>
      <c r="C18" s="269">
        <f>ANALÍTICO!O149</f>
        <v>6648.4691406000011</v>
      </c>
      <c r="D18" s="270">
        <f t="shared" si="0"/>
        <v>7.6585716691474154E-2</v>
      </c>
    </row>
    <row r="19" spans="1:4" ht="15" x14ac:dyDescent="0.25">
      <c r="A19" s="267" t="str">
        <f>ANALÍTICO!C239</f>
        <v>3.5</v>
      </c>
      <c r="B19" s="268" t="str">
        <f>ANALÍTICO!D239</f>
        <v>FORRO</v>
      </c>
      <c r="C19" s="269">
        <f>ANALÍTICO!O239</f>
        <v>5295.2838119999997</v>
      </c>
      <c r="D19" s="270">
        <f t="shared" si="0"/>
        <v>6.0997967690075254E-2</v>
      </c>
    </row>
    <row r="20" spans="1:4" ht="15" x14ac:dyDescent="0.25">
      <c r="A20" s="267" t="str">
        <f>ANALÍTICO!C244</f>
        <v>3.6</v>
      </c>
      <c r="B20" s="268" t="str">
        <f>ANALÍTICO!D244</f>
        <v>REVESTIMENTOS INTERNOS</v>
      </c>
      <c r="C20" s="269">
        <f>ANALÍTICO!O244</f>
        <v>25158.759834959994</v>
      </c>
      <c r="D20" s="270">
        <f t="shared" si="0"/>
        <v>0.28981132532641912</v>
      </c>
    </row>
    <row r="21" spans="1:4" ht="15" x14ac:dyDescent="0.25">
      <c r="A21" s="267" t="str">
        <f>ANALÍTICO!C264</f>
        <v>3.7</v>
      </c>
      <c r="B21" s="268" t="str">
        <f>ANALÍTICO!D264</f>
        <v xml:space="preserve">PISOS </v>
      </c>
      <c r="C21" s="269">
        <f>ANALÍTICO!O264</f>
        <v>6783.4300068000011</v>
      </c>
      <c r="D21" s="270">
        <f t="shared" si="0"/>
        <v>7.8140371521728258E-2</v>
      </c>
    </row>
    <row r="22" spans="1:4" ht="15" x14ac:dyDescent="0.25">
      <c r="A22" s="267" t="str">
        <f>ANALÍTICO!C285</f>
        <v>3.8</v>
      </c>
      <c r="B22" s="268" t="str">
        <f>ANALÍTICO!D285</f>
        <v>RODAPÉS, SOLEIRAS E PEITORIS</v>
      </c>
      <c r="C22" s="269">
        <f>ANALÍTICO!O285</f>
        <v>592.18263360000003</v>
      </c>
      <c r="D22" s="270">
        <f t="shared" si="0"/>
        <v>6.8215299563543913E-3</v>
      </c>
    </row>
    <row r="23" spans="1:4" ht="15" x14ac:dyDescent="0.25">
      <c r="A23" s="267" t="str">
        <f>ANALÍTICO!C291</f>
        <v>3.9</v>
      </c>
      <c r="B23" s="268" t="str">
        <f>ANALÍTICO!D291</f>
        <v>INSTALAÇÕES HIDROSSANITÁRIAS</v>
      </c>
      <c r="C23" s="269">
        <f>ANALÍTICO!O291</f>
        <v>14181.955171199999</v>
      </c>
      <c r="D23" s="270">
        <f t="shared" si="0"/>
        <v>0.16336620925861589</v>
      </c>
    </row>
    <row r="24" spans="1:4" ht="15" x14ac:dyDescent="0.25">
      <c r="A24" s="267" t="str">
        <f>ANALÍTICO!C459</f>
        <v>3.10</v>
      </c>
      <c r="B24" s="268" t="str">
        <f>ANALÍTICO!D459</f>
        <v>PINTURAS</v>
      </c>
      <c r="C24" s="269">
        <f>ANALÍTICO!O459</f>
        <v>5407.9824225600005</v>
      </c>
      <c r="D24" s="270">
        <f t="shared" si="0"/>
        <v>6.2296176898442288E-2</v>
      </c>
    </row>
    <row r="25" spans="1:4" ht="15" x14ac:dyDescent="0.25">
      <c r="A25" s="267" t="str">
        <f>ANALÍTICO!C488</f>
        <v>3.11</v>
      </c>
      <c r="B25" s="268" t="str">
        <f>ANALÍTICO!D488</f>
        <v>COMUNICAÇÃO VISUAL</v>
      </c>
      <c r="C25" s="269">
        <f>ANALÍTICO!O488</f>
        <v>47.769372000000004</v>
      </c>
      <c r="D25" s="270">
        <f t="shared" si="0"/>
        <v>5.5026977085306523E-4</v>
      </c>
    </row>
    <row r="26" spans="1:4" ht="37.5" x14ac:dyDescent="0.25">
      <c r="A26" s="344">
        <f>ANALÍTICO!C495</f>
        <v>4</v>
      </c>
      <c r="B26" s="345" t="str">
        <f>ANALÍTICO!D495</f>
        <v>PAVIMENTO SOBRELOJA CASARÃO - gabinete, ambulatório, banheiros</v>
      </c>
      <c r="C26" s="346">
        <f>ANALÍTICO!O495</f>
        <v>94903.157193920022</v>
      </c>
      <c r="D26" s="347">
        <f>C26/$C$50</f>
        <v>0.21380770349539097</v>
      </c>
    </row>
    <row r="27" spans="1:4" ht="15" x14ac:dyDescent="0.25">
      <c r="A27" s="267" t="str">
        <f>ANALÍTICO!C497</f>
        <v>4.1</v>
      </c>
      <c r="B27" s="268" t="str">
        <f>ANALÍTICO!D497</f>
        <v>DEMOLIÇÕES</v>
      </c>
      <c r="C27" s="269">
        <f>ANALÍTICO!O497</f>
        <v>8136.2971731199987</v>
      </c>
      <c r="D27" s="270">
        <f t="shared" ref="D27:D34" si="1">C27/$C$26</f>
        <v>8.5732629068332525E-2</v>
      </c>
    </row>
    <row r="28" spans="1:4" ht="15" x14ac:dyDescent="0.25">
      <c r="A28" s="267" t="str">
        <f>ANALÍTICO!C532</f>
        <v>4.2</v>
      </c>
      <c r="B28" s="268" t="str">
        <f>ANALÍTICO!D532</f>
        <v>SUPRA-ESTRUTURA</v>
      </c>
      <c r="C28" s="269">
        <f>ANALÍTICO!O532</f>
        <v>10099.731925799999</v>
      </c>
      <c r="D28" s="270">
        <f t="shared" si="1"/>
        <v>0.10642145345241516</v>
      </c>
    </row>
    <row r="29" spans="1:4" ht="15" x14ac:dyDescent="0.25">
      <c r="A29" s="267" t="str">
        <f>ANALÍTICO!C567</f>
        <v>4.3</v>
      </c>
      <c r="B29" s="268" t="str">
        <f>ANALÍTICO!D567</f>
        <v>PAREDES E PAINÉIS</v>
      </c>
      <c r="C29" s="269">
        <f>ANALÍTICO!O567</f>
        <v>16279.246002599999</v>
      </c>
      <c r="D29" s="270">
        <f t="shared" si="1"/>
        <v>0.17153534702049861</v>
      </c>
    </row>
    <row r="30" spans="1:4" ht="15" x14ac:dyDescent="0.25">
      <c r="A30" s="267" t="str">
        <f>ANALÍTICO!C579</f>
        <v>4.4</v>
      </c>
      <c r="B30" s="268" t="str">
        <f>ANALÍTICO!D579</f>
        <v>ESQUADRIAS</v>
      </c>
      <c r="C30" s="269">
        <f>ANALÍTICO!O579</f>
        <v>3656.447424</v>
      </c>
      <c r="D30" s="270">
        <f t="shared" si="1"/>
        <v>3.8528195816801031E-2</v>
      </c>
    </row>
    <row r="31" spans="1:4" ht="15" x14ac:dyDescent="0.25">
      <c r="A31" s="267" t="str">
        <f>ANALÍTICO!C636</f>
        <v>4.5</v>
      </c>
      <c r="B31" s="268" t="str">
        <f>ANALÍTICO!D636</f>
        <v>REVESTIMENTOS INTERNOS</v>
      </c>
      <c r="C31" s="269">
        <f>ANALÍTICO!O636</f>
        <v>15621.695323199998</v>
      </c>
      <c r="D31" s="270">
        <f t="shared" si="1"/>
        <v>0.16460669787075116</v>
      </c>
    </row>
    <row r="32" spans="1:4" ht="15" x14ac:dyDescent="0.25">
      <c r="A32" s="267" t="str">
        <f>ANALÍTICO!C657</f>
        <v>4.6</v>
      </c>
      <c r="B32" s="268" t="str">
        <f>ANALÍTICO!D657</f>
        <v xml:space="preserve">PISOS </v>
      </c>
      <c r="C32" s="269">
        <f>ANALÍTICO!O657</f>
        <v>6870.4632863999996</v>
      </c>
      <c r="D32" s="270">
        <f t="shared" si="1"/>
        <v>7.2394464942417705E-2</v>
      </c>
    </row>
    <row r="33" spans="1:4" ht="15" x14ac:dyDescent="0.25">
      <c r="A33" s="267" t="str">
        <f>ANALÍTICO!C672</f>
        <v>4.7</v>
      </c>
      <c r="B33" s="268" t="str">
        <f>ANALÍTICO!D672</f>
        <v>CORRIMÃO, RODAPÉS, SOLEIRAS E PEITORIS</v>
      </c>
      <c r="C33" s="269">
        <f>ANALÍTICO!O672</f>
        <v>1127.377512</v>
      </c>
      <c r="D33" s="270">
        <f t="shared" si="1"/>
        <v>1.187924137967694E-2</v>
      </c>
    </row>
    <row r="34" spans="1:4" ht="15" x14ac:dyDescent="0.25">
      <c r="A34" s="267" t="str">
        <f>ANALÍTICO!C682</f>
        <v>4.8</v>
      </c>
      <c r="B34" s="268" t="str">
        <f>ANALÍTICO!D682</f>
        <v>INSTALAÇÕES HIDROSSANITÁRIAS</v>
      </c>
      <c r="C34" s="269">
        <f>ANALÍTICO!O682</f>
        <v>13311.317383200001</v>
      </c>
      <c r="D34" s="270">
        <f t="shared" si="1"/>
        <v>0.14026211326142046</v>
      </c>
    </row>
    <row r="35" spans="1:4" ht="15" x14ac:dyDescent="0.25">
      <c r="A35" s="267" t="str">
        <f>ANALÍTICO!C850</f>
        <v>4.9</v>
      </c>
      <c r="B35" s="268" t="str">
        <f>ANALÍTICO!D850</f>
        <v>INSTALAÇÕES DE AR CONDICIONADO</v>
      </c>
      <c r="C35" s="269">
        <f>ANALÍTICO!O850</f>
        <v>12102.332736</v>
      </c>
      <c r="D35" s="270">
        <f t="shared" ref="D35:D36" si="2">C35/$C$26</f>
        <v>0.12752297282661254</v>
      </c>
    </row>
    <row r="36" spans="1:4" ht="15" x14ac:dyDescent="0.25">
      <c r="A36" s="267" t="str">
        <f>ANALÍTICO!C900</f>
        <v>4.10</v>
      </c>
      <c r="B36" s="268" t="str">
        <f>ANALÍTICO!D900</f>
        <v>PINTURAS</v>
      </c>
      <c r="C36" s="269">
        <f>ANALÍTICO!O900</f>
        <v>7657.3032516000003</v>
      </c>
      <c r="D36" s="270">
        <f t="shared" si="2"/>
        <v>8.0685442697691054E-2</v>
      </c>
    </row>
    <row r="37" spans="1:4" ht="15" x14ac:dyDescent="0.25">
      <c r="A37" s="267" t="str">
        <f>ANALÍTICO!C938</f>
        <v>4.11</v>
      </c>
      <c r="B37" s="268" t="str">
        <f>ANALÍTICO!D938</f>
        <v>COMUNICAÇÃO VISUAL</v>
      </c>
      <c r="C37" s="269">
        <f>ANALÍTICO!O938</f>
        <v>40.945175999999996</v>
      </c>
      <c r="D37" s="270">
        <f>C37/$C$26</f>
        <v>4.3144166338254499E-4</v>
      </c>
    </row>
    <row r="38" spans="1:4" ht="37.5" x14ac:dyDescent="0.25">
      <c r="A38" s="340">
        <f>ANALÍTICO!C945</f>
        <v>5</v>
      </c>
      <c r="B38" s="341" t="str">
        <f>ANALÍTICO!D945</f>
        <v>INSTALAÇÃO DE COPA NA SOBRELOJA - EDIFICIO RIO BRANCO</v>
      </c>
      <c r="C38" s="342">
        <f>ANALÍTICO!O945</f>
        <v>11085.93207216</v>
      </c>
      <c r="D38" s="343">
        <f t="shared" ref="D38:D48" si="3">C38/$C$50</f>
        <v>2.4975540830650903E-2</v>
      </c>
    </row>
    <row r="39" spans="1:4" ht="25.5" customHeight="1" x14ac:dyDescent="0.25">
      <c r="A39" s="340">
        <f>ANALÍTICO!C1086</f>
        <v>6</v>
      </c>
      <c r="B39" s="341" t="str">
        <f>ANALÍTICO!D1086</f>
        <v>SALA DOS MOTORISTAS - 1º SUB SOLO</v>
      </c>
      <c r="C39" s="342">
        <f>ANALÍTICO!O1086</f>
        <v>76054.204364340025</v>
      </c>
      <c r="D39" s="343">
        <f t="shared" si="3"/>
        <v>0.17134282206314674</v>
      </c>
    </row>
    <row r="40" spans="1:4" x14ac:dyDescent="0.25">
      <c r="A40" s="340">
        <f>ANALÍTICO!C1452</f>
        <v>7</v>
      </c>
      <c r="B40" s="341" t="str">
        <f>ANALÍTICO!D1452</f>
        <v>INSTALAÇÃO DO GÁS</v>
      </c>
      <c r="C40" s="342">
        <f>ANALÍTICO!O1452</f>
        <v>9486.1263491280006</v>
      </c>
      <c r="D40" s="343">
        <f t="shared" si="3"/>
        <v>2.1371332100467912E-2</v>
      </c>
    </row>
    <row r="41" spans="1:4" ht="61.5" customHeight="1" x14ac:dyDescent="0.25">
      <c r="A41" s="340">
        <f>ANALÍTICO!C1641</f>
        <v>8</v>
      </c>
      <c r="B41" s="341" t="str">
        <f>ANALÍTICO!D1641</f>
        <v xml:space="preserve">SUBSTITUIÇÃO DE PORTAS - PLENÁRIO, GABINETE VICE PRESIDÊNCIA  E ENFERMAGEM </v>
      </c>
      <c r="C41" s="342">
        <f>ANALÍTICO!O1641</f>
        <v>9306.8959449600025</v>
      </c>
      <c r="D41" s="343">
        <f t="shared" si="3"/>
        <v>2.0967543204031013E-2</v>
      </c>
    </row>
    <row r="42" spans="1:4" ht="37.5" x14ac:dyDescent="0.25">
      <c r="A42" s="340">
        <f>ANALÍTICO!C1710</f>
        <v>9</v>
      </c>
      <c r="B42" s="341" t="str">
        <f>ANALÍTICO!D1710</f>
        <v>PINTURA EM CORREDORES E GABINETES - TORRE DO EDIFÍCIO RIO BRANCO</v>
      </c>
      <c r="C42" s="342">
        <f>ANALÍTICO!O1710</f>
        <v>30777.245067239994</v>
      </c>
      <c r="D42" s="343">
        <f t="shared" si="3"/>
        <v>6.9338178858426927E-2</v>
      </c>
    </row>
    <row r="43" spans="1:4" ht="37.5" x14ac:dyDescent="0.25">
      <c r="A43" s="340">
        <v>10</v>
      </c>
      <c r="B43" s="341" t="str">
        <f>ANALÍTICO!D1737</f>
        <v>APLICAÇÃO DE AZULEJO E PINTURA DAS COPAS - TORRE DO EDIFÍCIO RIO BRANCO</v>
      </c>
      <c r="C43" s="342">
        <f>ANALÍTICO!O1737</f>
        <v>9274.2074107200006</v>
      </c>
      <c r="D43" s="343">
        <f t="shared" si="3"/>
        <v>2.0893899074129158E-2</v>
      </c>
    </row>
    <row r="44" spans="1:4" x14ac:dyDescent="0.25">
      <c r="A44" s="340">
        <v>11</v>
      </c>
      <c r="B44" s="341" t="str">
        <f>ANALÍTICO!D1755</f>
        <v>ADEQUAÇÃO DO PAINEL DE VIDRO - PLENÁRIO II</v>
      </c>
      <c r="C44" s="342">
        <f>ANALÍTICO!O1755</f>
        <v>1327.4821278000002</v>
      </c>
      <c r="D44" s="343">
        <f t="shared" si="3"/>
        <v>2.9906898102045067E-3</v>
      </c>
    </row>
    <row r="45" spans="1:4" x14ac:dyDescent="0.25">
      <c r="A45" s="340">
        <f>ANALÍTICO!C1776</f>
        <v>12</v>
      </c>
      <c r="B45" s="341" t="str">
        <f>ANALÍTICO!D1776</f>
        <v>ELEVATÓRIA DE ESGOTO</v>
      </c>
      <c r="C45" s="342">
        <f>ANALÍTICO!O1776</f>
        <v>23769.298376640007</v>
      </c>
      <c r="D45" s="343">
        <f t="shared" si="3"/>
        <v>5.3549947650547783E-2</v>
      </c>
    </row>
    <row r="46" spans="1:4" x14ac:dyDescent="0.25">
      <c r="A46" s="340">
        <v>13</v>
      </c>
      <c r="B46" s="341" t="s">
        <v>1304</v>
      </c>
      <c r="C46" s="342">
        <f>'ELE-VESTIARIOS COPA MOTORISTAS'!P200</f>
        <v>17358.47</v>
      </c>
      <c r="D46" s="343">
        <f t="shared" si="3"/>
        <v>3.9106966687209525E-2</v>
      </c>
    </row>
    <row r="47" spans="1:4" ht="37.5" x14ac:dyDescent="0.25">
      <c r="A47" s="340">
        <v>14</v>
      </c>
      <c r="B47" s="341" t="s">
        <v>1267</v>
      </c>
      <c r="C47" s="342">
        <f>'COPA TERREO CASARAO- copa sobre'!P146</f>
        <v>23514.6</v>
      </c>
      <c r="D47" s="343">
        <f t="shared" si="3"/>
        <v>5.2976136656229328E-2</v>
      </c>
    </row>
    <row r="48" spans="1:4" ht="37.5" x14ac:dyDescent="0.25">
      <c r="A48" s="340">
        <v>15</v>
      </c>
      <c r="B48" s="341" t="s">
        <v>1301</v>
      </c>
      <c r="C48" s="342">
        <f>'ELE -GABINETE SALA DE PERICIAS'!P102</f>
        <v>20084.870000000003</v>
      </c>
      <c r="D48" s="343">
        <f t="shared" si="3"/>
        <v>4.5249284182703547E-2</v>
      </c>
    </row>
    <row r="49" spans="1:6" ht="15" x14ac:dyDescent="0.25">
      <c r="A49" s="336"/>
      <c r="B49" s="337"/>
      <c r="C49" s="338"/>
      <c r="D49" s="339"/>
    </row>
    <row r="50" spans="1:6" s="312" customFormat="1" ht="21" x14ac:dyDescent="0.35">
      <c r="A50" s="759" t="s">
        <v>1451</v>
      </c>
      <c r="B50" s="760"/>
      <c r="C50" s="313">
        <f>C39+C38+C26+C14+C13+C12+C40+C41+C42+C43+C44+C45+C46+C47+C48</f>
        <v>443871.55206484802</v>
      </c>
      <c r="D50" s="314">
        <f>D39+D38+D26+D14+D13+D12+D40+D41+D42+D43+D44++D45+D46+D47+D48</f>
        <v>1.0000000000000002</v>
      </c>
    </row>
    <row r="51" spans="1:6" x14ac:dyDescent="0.3">
      <c r="E51" s="75"/>
    </row>
    <row r="52" spans="1:6" x14ac:dyDescent="0.3">
      <c r="D52" s="77"/>
    </row>
    <row r="53" spans="1:6" x14ac:dyDescent="0.3">
      <c r="E53" s="36"/>
    </row>
    <row r="55" spans="1:6" x14ac:dyDescent="0.3">
      <c r="F55" s="75"/>
    </row>
    <row r="56" spans="1:6" x14ac:dyDescent="0.3">
      <c r="E56" s="75"/>
    </row>
  </sheetData>
  <customSheetViews>
    <customSheetView guid="{64A379BA-3141-462E-A550-7507503698AB}" fitToPage="1" topLeftCell="A7">
      <selection activeCell="C35" sqref="C35"/>
      <pageMargins left="0.51181102362204722" right="0.51181102362204722" top="0.78740157480314965" bottom="0.78740157480314965" header="0.31496062992125984" footer="0.31496062992125984"/>
      <printOptions horizontalCentered="1"/>
      <pageSetup paperSize="9" scale="97" orientation="portrait" r:id="rId1"/>
    </customSheetView>
    <customSheetView guid="{085E57EC-FCE4-472B-96BD-85A48C0D7EC5}" fitToPage="1" showRuler="0" topLeftCell="A7">
      <selection activeCell="C35" sqref="C35"/>
      <pageMargins left="0.51181102362204722" right="0.51181102362204722" top="0.78740157480314965" bottom="0.78740157480314965" header="0.31496062992125984" footer="0.31496062992125984"/>
      <printOptions horizontalCentered="1"/>
      <pageSetup paperSize="9" scale="97" orientation="portrait" r:id="rId2"/>
      <headerFooter alignWithMargins="0"/>
    </customSheetView>
    <customSheetView guid="{DD765DCE-E655-456A-9D24-4450FE20736A}" showPageBreaks="1" fitToPage="1" printArea="1" topLeftCell="A10">
      <selection activeCell="C10" sqref="C10"/>
      <pageMargins left="0.51181102362204722" right="0.51181102362204722" top="0.78740157480314965" bottom="0.78740157480314965" header="0.31496062992125984" footer="0.31496062992125984"/>
      <printOptions horizontalCentered="1"/>
      <pageSetup paperSize="9" scale="97" orientation="portrait" r:id="rId3"/>
    </customSheetView>
    <customSheetView guid="{A9E6D264-7B9C-4375-A0CF-466470785BB4}" showPageBreaks="1" fitToPage="1" printArea="1" topLeftCell="A10">
      <selection activeCell="C10" sqref="C10"/>
      <pageMargins left="0.51181102362204722" right="0.51181102362204722" top="0.78740157480314965" bottom="0.78740157480314965" header="0.31496062992125984" footer="0.31496062992125984"/>
      <printOptions horizontalCentered="1"/>
      <pageSetup paperSize="9" scale="97" orientation="portrait" r:id="rId4"/>
    </customSheetView>
  </customSheetViews>
  <mergeCells count="6">
    <mergeCell ref="A50:B50"/>
    <mergeCell ref="A1:D1"/>
    <mergeCell ref="A2:D2"/>
    <mergeCell ref="A4:D4"/>
    <mergeCell ref="B3:D3"/>
    <mergeCell ref="A5:D5"/>
  </mergeCells>
  <phoneticPr fontId="0" type="noConversion"/>
  <printOptions horizontalCentered="1"/>
  <pageMargins left="0.51181102362204722" right="0.51181102362204722" top="0.78740157480314965" bottom="0.78740157480314965" header="0.31496062992125984" footer="0.31496062992125984"/>
  <pageSetup paperSize="9" scale="73"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11"/>
  <sheetViews>
    <sheetView view="pageBreakPreview" topLeftCell="E1" zoomScale="115" zoomScaleNormal="100" zoomScaleSheetLayoutView="115" workbookViewId="0">
      <pane ySplit="9" topLeftCell="A10" activePane="bottomLeft" state="frozen"/>
      <selection pane="bottomLeft" activeCell="K11" sqref="K11:M11"/>
    </sheetView>
  </sheetViews>
  <sheetFormatPr defaultRowHeight="15" x14ac:dyDescent="0.25"/>
  <cols>
    <col min="1" max="1" width="9.140625" style="6"/>
    <col min="2" max="2" width="12.7109375" style="10" customWidth="1"/>
    <col min="3" max="3" width="11.7109375" style="512" customWidth="1"/>
    <col min="4" max="4" width="63" style="6" customWidth="1"/>
    <col min="5" max="5" width="11.5703125" style="6" customWidth="1"/>
    <col min="6" max="6" width="14.140625" style="6" customWidth="1"/>
    <col min="7" max="7" width="8.28515625" style="6" customWidth="1"/>
    <col min="8" max="8" width="15.85546875" style="6" customWidth="1"/>
    <col min="9" max="10" width="13.5703125" style="6" customWidth="1"/>
    <col min="11" max="11" width="14.85546875" style="6" customWidth="1"/>
    <col min="12" max="12" width="15" style="6" customWidth="1"/>
    <col min="13" max="13" width="17.7109375" style="6" customWidth="1"/>
    <col min="14" max="14" width="15.140625" style="6" customWidth="1"/>
    <col min="15" max="15" width="18" style="6" customWidth="1"/>
    <col min="16" max="17" width="10.42578125" style="6" bestFit="1" customWidth="1"/>
    <col min="18" max="16384" width="9.140625" style="6"/>
  </cols>
  <sheetData>
    <row r="1" spans="1:15" s="23" customFormat="1" ht="20.25" customHeight="1" x14ac:dyDescent="0.2">
      <c r="A1" s="769" t="s">
        <v>240</v>
      </c>
      <c r="B1" s="770"/>
      <c r="C1" s="770"/>
      <c r="D1" s="770"/>
      <c r="E1" s="770"/>
      <c r="F1" s="770"/>
      <c r="G1" s="770"/>
      <c r="H1" s="770"/>
      <c r="I1" s="770"/>
      <c r="J1" s="770"/>
      <c r="K1" s="770"/>
      <c r="L1" s="770"/>
      <c r="M1" s="770"/>
      <c r="N1" s="770"/>
      <c r="O1" s="771"/>
    </row>
    <row r="2" spans="1:15" s="23" customFormat="1" ht="14.25" x14ac:dyDescent="0.2">
      <c r="A2" s="772"/>
      <c r="B2" s="773"/>
      <c r="C2" s="773"/>
      <c r="D2" s="773"/>
      <c r="E2" s="773"/>
      <c r="F2" s="773"/>
      <c r="G2" s="773"/>
      <c r="H2" s="773"/>
      <c r="I2" s="773"/>
      <c r="J2" s="773"/>
      <c r="K2" s="773"/>
      <c r="L2" s="773"/>
      <c r="M2" s="773"/>
      <c r="N2" s="773"/>
      <c r="O2" s="774"/>
    </row>
    <row r="3" spans="1:15" s="23" customFormat="1" ht="14.25" x14ac:dyDescent="0.2">
      <c r="A3" s="772"/>
      <c r="B3" s="773"/>
      <c r="C3" s="773"/>
      <c r="D3" s="773"/>
      <c r="E3" s="773"/>
      <c r="F3" s="773"/>
      <c r="G3" s="773"/>
      <c r="H3" s="773"/>
      <c r="I3" s="773"/>
      <c r="J3" s="773"/>
      <c r="K3" s="773"/>
      <c r="L3" s="773"/>
      <c r="M3" s="773"/>
      <c r="N3" s="773"/>
      <c r="O3" s="774"/>
    </row>
    <row r="4" spans="1:15" s="23" customFormat="1" ht="14.25" x14ac:dyDescent="0.2">
      <c r="A4" s="772"/>
      <c r="B4" s="773"/>
      <c r="C4" s="773"/>
      <c r="D4" s="773"/>
      <c r="E4" s="773"/>
      <c r="F4" s="773"/>
      <c r="G4" s="773"/>
      <c r="H4" s="773"/>
      <c r="I4" s="773"/>
      <c r="J4" s="773"/>
      <c r="K4" s="773"/>
      <c r="L4" s="773"/>
      <c r="M4" s="773"/>
      <c r="N4" s="773"/>
      <c r="O4" s="774"/>
    </row>
    <row r="5" spans="1:15" s="23" customFormat="1" ht="14.25" x14ac:dyDescent="0.2">
      <c r="A5" s="772"/>
      <c r="B5" s="773"/>
      <c r="C5" s="773"/>
      <c r="D5" s="773"/>
      <c r="E5" s="773"/>
      <c r="F5" s="773"/>
      <c r="G5" s="773"/>
      <c r="H5" s="773"/>
      <c r="I5" s="773"/>
      <c r="J5" s="773"/>
      <c r="K5" s="773"/>
      <c r="L5" s="773"/>
      <c r="M5" s="773"/>
      <c r="N5" s="773"/>
      <c r="O5" s="774"/>
    </row>
    <row r="6" spans="1:15" s="23" customFormat="1" ht="14.25" x14ac:dyDescent="0.2">
      <c r="A6" s="46"/>
      <c r="B6" s="47" t="s">
        <v>66</v>
      </c>
      <c r="C6" s="508"/>
      <c r="D6" s="48" t="str">
        <f>RESUMO!B6</f>
        <v>INTERVENÇÕES DIVERSAS CASARÃO/EDIFICIO RIO BRANCO</v>
      </c>
      <c r="E6" s="49"/>
      <c r="F6" s="50"/>
      <c r="G6" s="50"/>
      <c r="H6" s="51"/>
      <c r="I6" s="52"/>
      <c r="J6" s="52"/>
      <c r="K6" s="51"/>
      <c r="L6" s="53"/>
      <c r="M6" s="54"/>
      <c r="N6" s="55"/>
      <c r="O6" s="56"/>
    </row>
    <row r="7" spans="1:15" s="23" customFormat="1" ht="14.25" x14ac:dyDescent="0.2">
      <c r="A7" s="57"/>
      <c r="B7" s="47" t="s">
        <v>67</v>
      </c>
      <c r="C7" s="508"/>
      <c r="D7" s="48" t="str">
        <f>RESUMO!B7</f>
        <v>Alameda Carlos de Carvalho, 528</v>
      </c>
      <c r="E7" s="49"/>
      <c r="F7" s="58"/>
      <c r="G7" s="58"/>
      <c r="H7" s="51"/>
      <c r="I7" s="52"/>
      <c r="J7" s="52"/>
      <c r="K7" s="51"/>
      <c r="L7" s="53"/>
      <c r="M7" s="54" t="s">
        <v>68</v>
      </c>
      <c r="N7" s="59">
        <v>0.27079999999999999</v>
      </c>
      <c r="O7" s="60"/>
    </row>
    <row r="8" spans="1:15" s="23" customFormat="1" ht="14.25" x14ac:dyDescent="0.2">
      <c r="A8" s="61"/>
      <c r="B8" s="47" t="s">
        <v>69</v>
      </c>
      <c r="C8" s="508"/>
      <c r="D8" s="48" t="str">
        <f>RESUMO!B8</f>
        <v>Curitiba/PR</v>
      </c>
      <c r="E8" s="62"/>
      <c r="F8" s="63"/>
      <c r="G8" s="63"/>
      <c r="H8" s="51"/>
      <c r="I8" s="52"/>
      <c r="J8" s="52"/>
      <c r="K8" s="51"/>
      <c r="L8" s="53"/>
      <c r="M8" s="54" t="s">
        <v>527</v>
      </c>
      <c r="N8" s="59">
        <v>0.14019999999999999</v>
      </c>
      <c r="O8" s="60"/>
    </row>
    <row r="9" spans="1:15" s="23" customFormat="1" ht="22.5" customHeight="1" thickBot="1" x14ac:dyDescent="0.25">
      <c r="A9" s="64"/>
      <c r="B9" s="65"/>
      <c r="C9" s="509"/>
      <c r="D9" s="166"/>
      <c r="E9" s="66"/>
      <c r="F9" s="67"/>
      <c r="G9" s="67"/>
      <c r="H9" s="68"/>
      <c r="I9" s="69"/>
      <c r="J9" s="69"/>
      <c r="K9" s="68"/>
      <c r="L9" s="70"/>
      <c r="M9" s="71" t="s">
        <v>65</v>
      </c>
      <c r="N9" s="72">
        <v>42005</v>
      </c>
      <c r="O9" s="73"/>
    </row>
    <row r="10" spans="1:15" s="23" customFormat="1" ht="14.25" x14ac:dyDescent="0.2">
      <c r="A10" s="24"/>
      <c r="B10" s="11"/>
      <c r="C10" s="510"/>
      <c r="D10" s="2"/>
      <c r="E10" s="2"/>
      <c r="F10" s="2"/>
      <c r="G10" s="2"/>
      <c r="H10" s="7"/>
      <c r="I10" s="8"/>
      <c r="J10" s="8"/>
      <c r="K10" s="7"/>
      <c r="M10" s="1"/>
      <c r="N10" s="3"/>
      <c r="O10" s="3"/>
    </row>
    <row r="11" spans="1:15" s="23" customFormat="1" ht="14.25" x14ac:dyDescent="0.2">
      <c r="A11" s="767" t="s">
        <v>70</v>
      </c>
      <c r="B11" s="767" t="s">
        <v>86</v>
      </c>
      <c r="C11" s="776" t="s">
        <v>71</v>
      </c>
      <c r="D11" s="778" t="s">
        <v>87</v>
      </c>
      <c r="E11" s="767" t="s">
        <v>62</v>
      </c>
      <c r="F11" s="767" t="s">
        <v>75</v>
      </c>
      <c r="G11" s="146"/>
      <c r="H11" s="767" t="s">
        <v>1447</v>
      </c>
      <c r="I11" s="780"/>
      <c r="J11" s="780"/>
      <c r="K11" s="767" t="s">
        <v>1448</v>
      </c>
      <c r="L11" s="780"/>
      <c r="M11" s="780"/>
      <c r="N11" s="767" t="s">
        <v>64</v>
      </c>
      <c r="O11" s="767" t="s">
        <v>1449</v>
      </c>
    </row>
    <row r="12" spans="1:15" s="25" customFormat="1" ht="24" x14ac:dyDescent="0.2">
      <c r="A12" s="775"/>
      <c r="B12" s="775"/>
      <c r="C12" s="777"/>
      <c r="D12" s="779"/>
      <c r="E12" s="779"/>
      <c r="F12" s="779" t="s">
        <v>63</v>
      </c>
      <c r="G12" s="148"/>
      <c r="H12" s="147" t="s">
        <v>72</v>
      </c>
      <c r="I12" s="147" t="s">
        <v>73</v>
      </c>
      <c r="J12" s="147" t="s">
        <v>74</v>
      </c>
      <c r="K12" s="147" t="s">
        <v>72</v>
      </c>
      <c r="L12" s="147" t="s">
        <v>73</v>
      </c>
      <c r="M12" s="147" t="s">
        <v>74</v>
      </c>
      <c r="N12" s="768"/>
      <c r="O12" s="768"/>
    </row>
    <row r="13" spans="1:15" s="23" customFormat="1" ht="14.25" x14ac:dyDescent="0.2">
      <c r="A13" s="131"/>
      <c r="B13" s="126"/>
      <c r="C13" s="132"/>
      <c r="D13" s="88"/>
      <c r="E13" s="133"/>
      <c r="F13" s="88"/>
      <c r="G13" s="133"/>
      <c r="H13" s="97"/>
      <c r="I13" s="98"/>
      <c r="J13" s="99"/>
      <c r="K13" s="97"/>
      <c r="L13" s="98"/>
      <c r="M13" s="99"/>
      <c r="N13" s="88"/>
      <c r="O13" s="88"/>
    </row>
    <row r="14" spans="1:15" s="23" customFormat="1" ht="15.75" x14ac:dyDescent="0.2">
      <c r="A14" s="149"/>
      <c r="B14" s="150"/>
      <c r="C14" s="511">
        <v>1</v>
      </c>
      <c r="D14" s="151" t="s">
        <v>88</v>
      </c>
      <c r="E14" s="152"/>
      <c r="F14" s="151"/>
      <c r="G14" s="152"/>
      <c r="H14" s="153"/>
      <c r="I14" s="154"/>
      <c r="J14" s="155"/>
      <c r="K14" s="153"/>
      <c r="L14" s="154"/>
      <c r="M14" s="155"/>
      <c r="N14" s="156"/>
      <c r="O14" s="157">
        <f>SUM(O15:O27)</f>
        <v>18641.721023999999</v>
      </c>
    </row>
    <row r="15" spans="1:15" s="23" customFormat="1" ht="14.25" x14ac:dyDescent="0.2">
      <c r="A15" s="134"/>
      <c r="B15" s="127"/>
      <c r="C15" s="9"/>
      <c r="D15" s="117" t="s">
        <v>83</v>
      </c>
      <c r="E15" s="30"/>
      <c r="F15" s="117"/>
      <c r="G15" s="30"/>
      <c r="H15" s="100"/>
      <c r="I15" s="26"/>
      <c r="J15" s="101"/>
      <c r="K15" s="100"/>
      <c r="L15" s="26"/>
      <c r="M15" s="101"/>
      <c r="N15" s="89"/>
      <c r="O15" s="89"/>
    </row>
    <row r="16" spans="1:15" s="23" customFormat="1" ht="14.25" x14ac:dyDescent="0.2">
      <c r="A16" s="223" t="s">
        <v>78</v>
      </c>
      <c r="B16" s="224">
        <v>4069</v>
      </c>
      <c r="C16" s="225" t="s">
        <v>76</v>
      </c>
      <c r="D16" s="226" t="s">
        <v>90</v>
      </c>
      <c r="E16" s="225" t="s">
        <v>89</v>
      </c>
      <c r="F16" s="515">
        <v>3</v>
      </c>
      <c r="G16" s="228"/>
      <c r="H16" s="229">
        <v>0</v>
      </c>
      <c r="I16" s="230">
        <v>4712.3999999999996</v>
      </c>
      <c r="J16" s="231">
        <f>(H16+I16)</f>
        <v>4712.3999999999996</v>
      </c>
      <c r="K16" s="229">
        <f>F16*H16</f>
        <v>0</v>
      </c>
      <c r="L16" s="230">
        <f>F16*I16</f>
        <v>14137.199999999999</v>
      </c>
      <c r="M16" s="231">
        <f>K16+L16</f>
        <v>14137.199999999999</v>
      </c>
      <c r="N16" s="227">
        <f>M16*$N$7</f>
        <v>3828.3537599999995</v>
      </c>
      <c r="O16" s="227">
        <f>M16+N16</f>
        <v>17965.553759999999</v>
      </c>
    </row>
    <row r="17" spans="1:15" s="23" customFormat="1" ht="14.25" x14ac:dyDescent="0.2">
      <c r="A17" s="134"/>
      <c r="B17" s="128"/>
      <c r="C17" s="32"/>
      <c r="D17" s="117" t="s">
        <v>83</v>
      </c>
      <c r="E17" s="30"/>
      <c r="F17" s="118"/>
      <c r="G17" s="31"/>
      <c r="H17" s="104"/>
      <c r="I17" s="27"/>
      <c r="J17" s="105"/>
      <c r="K17" s="104"/>
      <c r="L17" s="27"/>
      <c r="M17" s="105"/>
      <c r="N17" s="91"/>
      <c r="O17" s="91"/>
    </row>
    <row r="18" spans="1:15" s="23" customFormat="1" ht="14.25" x14ac:dyDescent="0.2">
      <c r="A18" s="223" t="s">
        <v>78</v>
      </c>
      <c r="B18" s="224" t="s">
        <v>92</v>
      </c>
      <c r="C18" s="225" t="s">
        <v>21</v>
      </c>
      <c r="D18" s="226" t="s">
        <v>93</v>
      </c>
      <c r="E18" s="225" t="s">
        <v>94</v>
      </c>
      <c r="F18" s="515">
        <v>2</v>
      </c>
      <c r="G18" s="228"/>
      <c r="H18" s="229">
        <f>ROUND(SUM(H19:H25),2)</f>
        <v>235.63</v>
      </c>
      <c r="I18" s="229">
        <f>ROUND(SUM(I19:I25),2)</f>
        <v>30.41</v>
      </c>
      <c r="J18" s="231">
        <f>(H18+I18)</f>
        <v>266.04000000000002</v>
      </c>
      <c r="K18" s="229">
        <f>F18*H18</f>
        <v>471.26</v>
      </c>
      <c r="L18" s="230">
        <f>F18*I18</f>
        <v>60.82</v>
      </c>
      <c r="M18" s="231">
        <f>K18+L18</f>
        <v>532.08000000000004</v>
      </c>
      <c r="N18" s="227">
        <f>M18*$N$7</f>
        <v>144.087264</v>
      </c>
      <c r="O18" s="227">
        <f>M18+N18</f>
        <v>676.16726400000005</v>
      </c>
    </row>
    <row r="19" spans="1:15" s="552" customFormat="1" ht="15" customHeight="1" x14ac:dyDescent="0.25">
      <c r="A19" s="543"/>
      <c r="B19" s="544" t="s">
        <v>656</v>
      </c>
      <c r="C19" s="513">
        <v>5652</v>
      </c>
      <c r="D19" s="545" t="s">
        <v>662</v>
      </c>
      <c r="E19" s="514" t="s">
        <v>58</v>
      </c>
      <c r="F19" s="546">
        <v>0.01</v>
      </c>
      <c r="G19" s="547">
        <v>229.77</v>
      </c>
      <c r="H19" s="548">
        <f>F19*G19</f>
        <v>2.2977000000000003</v>
      </c>
      <c r="I19" s="547"/>
      <c r="J19" s="549"/>
      <c r="K19" s="548"/>
      <c r="L19" s="547"/>
      <c r="M19" s="549"/>
      <c r="N19" s="550"/>
      <c r="O19" s="551"/>
    </row>
    <row r="20" spans="1:15" s="552" customFormat="1" ht="15" customHeight="1" x14ac:dyDescent="0.25">
      <c r="A20" s="543"/>
      <c r="B20" s="544" t="s">
        <v>656</v>
      </c>
      <c r="C20" s="513">
        <v>1213</v>
      </c>
      <c r="D20" s="545" t="s">
        <v>676</v>
      </c>
      <c r="E20" s="514" t="s">
        <v>42</v>
      </c>
      <c r="F20" s="546">
        <v>1</v>
      </c>
      <c r="G20" s="547">
        <v>12.57</v>
      </c>
      <c r="H20" s="548"/>
      <c r="I20" s="547">
        <f>F20*G20</f>
        <v>12.57</v>
      </c>
      <c r="J20" s="549"/>
      <c r="K20" s="548"/>
      <c r="L20" s="547"/>
      <c r="M20" s="549"/>
      <c r="N20" s="553"/>
      <c r="O20" s="554"/>
    </row>
    <row r="21" spans="1:15" s="552" customFormat="1" ht="15" customHeight="1" x14ac:dyDescent="0.25">
      <c r="A21" s="543"/>
      <c r="B21" s="544" t="s">
        <v>656</v>
      </c>
      <c r="C21" s="513">
        <v>6111</v>
      </c>
      <c r="D21" s="545" t="s">
        <v>670</v>
      </c>
      <c r="E21" s="514" t="s">
        <v>42</v>
      </c>
      <c r="F21" s="546">
        <v>2</v>
      </c>
      <c r="G21" s="547">
        <v>8.92</v>
      </c>
      <c r="H21" s="548"/>
      <c r="I21" s="547">
        <f>F21*G21</f>
        <v>17.84</v>
      </c>
      <c r="J21" s="549"/>
      <c r="K21" s="548"/>
      <c r="L21" s="547"/>
      <c r="M21" s="549"/>
      <c r="N21" s="555"/>
      <c r="O21" s="556"/>
    </row>
    <row r="22" spans="1:15" s="565" customFormat="1" ht="15" customHeight="1" x14ac:dyDescent="0.25">
      <c r="A22" s="543"/>
      <c r="B22" s="544" t="s">
        <v>657</v>
      </c>
      <c r="C22" s="513">
        <v>4417</v>
      </c>
      <c r="D22" s="545" t="s">
        <v>663</v>
      </c>
      <c r="E22" s="514" t="s">
        <v>56</v>
      </c>
      <c r="F22" s="546">
        <v>1</v>
      </c>
      <c r="G22" s="557">
        <v>4.0999999999999996</v>
      </c>
      <c r="H22" s="548">
        <f>F22*G22</f>
        <v>4.0999999999999996</v>
      </c>
      <c r="I22" s="558"/>
      <c r="J22" s="559"/>
      <c r="K22" s="560"/>
      <c r="L22" s="561"/>
      <c r="M22" s="562"/>
      <c r="N22" s="563"/>
      <c r="O22" s="564"/>
    </row>
    <row r="23" spans="1:15" s="565" customFormat="1" ht="15" customHeight="1" x14ac:dyDescent="0.25">
      <c r="A23" s="543"/>
      <c r="B23" s="544" t="s">
        <v>658</v>
      </c>
      <c r="C23" s="513">
        <v>4491</v>
      </c>
      <c r="D23" s="545" t="s">
        <v>659</v>
      </c>
      <c r="E23" s="514" t="s">
        <v>56</v>
      </c>
      <c r="F23" s="546">
        <v>4</v>
      </c>
      <c r="G23" s="557">
        <v>3.25</v>
      </c>
      <c r="H23" s="548">
        <f t="shared" ref="H23:H25" si="0">F23*G23</f>
        <v>13</v>
      </c>
      <c r="I23" s="558"/>
      <c r="J23" s="559"/>
      <c r="K23" s="560"/>
      <c r="L23" s="561"/>
      <c r="M23" s="562"/>
      <c r="N23" s="563"/>
      <c r="O23" s="564"/>
    </row>
    <row r="24" spans="1:15" s="565" customFormat="1" ht="15" customHeight="1" x14ac:dyDescent="0.25">
      <c r="A24" s="543"/>
      <c r="B24" s="544" t="s">
        <v>658</v>
      </c>
      <c r="C24" s="513">
        <v>4813</v>
      </c>
      <c r="D24" s="566" t="s">
        <v>660</v>
      </c>
      <c r="E24" s="513" t="s">
        <v>58</v>
      </c>
      <c r="F24" s="546">
        <v>1</v>
      </c>
      <c r="G24" s="567">
        <v>215.5</v>
      </c>
      <c r="H24" s="548">
        <f t="shared" si="0"/>
        <v>215.5</v>
      </c>
      <c r="I24" s="568"/>
      <c r="J24" s="559"/>
      <c r="K24" s="560"/>
      <c r="L24" s="561"/>
      <c r="M24" s="562"/>
      <c r="N24" s="563"/>
      <c r="O24" s="564"/>
    </row>
    <row r="25" spans="1:15" s="565" customFormat="1" ht="15" customHeight="1" x14ac:dyDescent="0.25">
      <c r="A25" s="543"/>
      <c r="B25" s="544" t="s">
        <v>658</v>
      </c>
      <c r="C25" s="513">
        <v>5075</v>
      </c>
      <c r="D25" s="566" t="s">
        <v>661</v>
      </c>
      <c r="E25" s="513" t="s">
        <v>48</v>
      </c>
      <c r="F25" s="546">
        <v>0.11</v>
      </c>
      <c r="G25" s="567">
        <v>6.62</v>
      </c>
      <c r="H25" s="548">
        <f t="shared" si="0"/>
        <v>0.72820000000000007</v>
      </c>
      <c r="I25" s="568"/>
      <c r="J25" s="559"/>
      <c r="K25" s="560"/>
      <c r="L25" s="561"/>
      <c r="M25" s="562"/>
      <c r="N25" s="563"/>
      <c r="O25" s="564"/>
    </row>
    <row r="26" spans="1:15" s="23" customFormat="1" ht="14.25" x14ac:dyDescent="0.2">
      <c r="A26" s="134"/>
      <c r="B26" s="129"/>
      <c r="C26" s="29"/>
      <c r="D26" s="117"/>
      <c r="E26" s="30"/>
      <c r="F26" s="118"/>
      <c r="G26" s="31"/>
      <c r="H26" s="104"/>
      <c r="I26" s="27"/>
      <c r="J26" s="105"/>
      <c r="K26" s="104"/>
      <c r="L26" s="27"/>
      <c r="M26" s="105"/>
      <c r="N26" s="92"/>
      <c r="O26" s="92"/>
    </row>
    <row r="27" spans="1:15" s="23" customFormat="1" ht="14.25" x14ac:dyDescent="0.2">
      <c r="A27" s="134"/>
      <c r="B27" s="129"/>
      <c r="C27" s="29"/>
      <c r="D27" s="117"/>
      <c r="E27" s="30"/>
      <c r="F27" s="118"/>
      <c r="G27" s="31"/>
      <c r="H27" s="104"/>
      <c r="I27" s="27"/>
      <c r="J27" s="105"/>
      <c r="K27" s="104"/>
      <c r="L27" s="27"/>
      <c r="M27" s="105"/>
      <c r="N27" s="92"/>
      <c r="O27" s="92"/>
    </row>
    <row r="28" spans="1:15" s="23" customFormat="1" ht="15.75" x14ac:dyDescent="0.2">
      <c r="A28" s="149"/>
      <c r="B28" s="150"/>
      <c r="C28" s="511">
        <v>2</v>
      </c>
      <c r="D28" s="151" t="s">
        <v>23</v>
      </c>
      <c r="E28" s="152"/>
      <c r="F28" s="151"/>
      <c r="G28" s="152"/>
      <c r="H28" s="153"/>
      <c r="I28" s="154"/>
      <c r="J28" s="155"/>
      <c r="K28" s="153"/>
      <c r="L28" s="154"/>
      <c r="M28" s="155"/>
      <c r="N28" s="156"/>
      <c r="O28" s="157">
        <f>SUM(O30:O57)</f>
        <v>11476.518552</v>
      </c>
    </row>
    <row r="29" spans="1:15" s="23" customFormat="1" ht="14.25" x14ac:dyDescent="0.2">
      <c r="A29" s="134"/>
      <c r="B29" s="129"/>
      <c r="C29" s="29"/>
      <c r="D29" s="117" t="s">
        <v>83</v>
      </c>
      <c r="E29" s="30"/>
      <c r="F29" s="118"/>
      <c r="G29" s="31"/>
      <c r="H29" s="104"/>
      <c r="I29" s="27"/>
      <c r="J29" s="105"/>
      <c r="K29" s="104"/>
      <c r="L29" s="27"/>
      <c r="M29" s="105"/>
      <c r="N29" s="91"/>
      <c r="O29" s="91"/>
    </row>
    <row r="30" spans="1:15" s="23" customFormat="1" ht="33.75" x14ac:dyDescent="0.2">
      <c r="A30" s="223" t="s">
        <v>78</v>
      </c>
      <c r="B30" s="224">
        <v>73618</v>
      </c>
      <c r="C30" s="225" t="s">
        <v>77</v>
      </c>
      <c r="D30" s="226" t="s">
        <v>1</v>
      </c>
      <c r="E30" s="225" t="s">
        <v>58</v>
      </c>
      <c r="F30" s="515">
        <v>80</v>
      </c>
      <c r="G30" s="228"/>
      <c r="H30" s="229">
        <f>ROUND(SUM(H31:H33),2)</f>
        <v>3.23</v>
      </c>
      <c r="I30" s="229">
        <f>ROUND(SUM(I31:I33),2)</f>
        <v>2.78</v>
      </c>
      <c r="J30" s="231">
        <f>(H30+I30)</f>
        <v>6.01</v>
      </c>
      <c r="K30" s="229">
        <f>F30*H30</f>
        <v>258.39999999999998</v>
      </c>
      <c r="L30" s="230">
        <f>F30*I30</f>
        <v>222.39999999999998</v>
      </c>
      <c r="M30" s="231">
        <f>K30+L30</f>
        <v>480.79999999999995</v>
      </c>
      <c r="N30" s="227">
        <f>M30*$N$7</f>
        <v>130.20063999999999</v>
      </c>
      <c r="O30" s="227">
        <f>M30+N30</f>
        <v>611.00063999999998</v>
      </c>
    </row>
    <row r="31" spans="1:15" s="552" customFormat="1" ht="15" customHeight="1" x14ac:dyDescent="0.25">
      <c r="A31" s="543"/>
      <c r="B31" s="544" t="s">
        <v>658</v>
      </c>
      <c r="C31" s="513">
        <v>2700</v>
      </c>
      <c r="D31" s="545" t="s">
        <v>671</v>
      </c>
      <c r="E31" s="514" t="s">
        <v>42</v>
      </c>
      <c r="F31" s="546">
        <v>0.08</v>
      </c>
      <c r="G31" s="547">
        <v>16.86</v>
      </c>
      <c r="H31" s="548"/>
      <c r="I31" s="547">
        <f>F31*G31</f>
        <v>1.3488</v>
      </c>
      <c r="J31" s="549"/>
      <c r="K31" s="548"/>
      <c r="L31" s="547"/>
      <c r="M31" s="549"/>
      <c r="N31" s="550"/>
      <c r="O31" s="551"/>
    </row>
    <row r="32" spans="1:15" s="552" customFormat="1" ht="15" customHeight="1" x14ac:dyDescent="0.25">
      <c r="A32" s="543"/>
      <c r="B32" s="544" t="s">
        <v>658</v>
      </c>
      <c r="C32" s="513">
        <v>6111</v>
      </c>
      <c r="D32" s="545" t="s">
        <v>670</v>
      </c>
      <c r="E32" s="514" t="s">
        <v>42</v>
      </c>
      <c r="F32" s="546">
        <v>0.16</v>
      </c>
      <c r="G32" s="547">
        <v>8.92</v>
      </c>
      <c r="H32" s="548"/>
      <c r="I32" s="547">
        <f>F32*G32</f>
        <v>1.4272</v>
      </c>
      <c r="J32" s="549"/>
      <c r="K32" s="548"/>
      <c r="L32" s="547"/>
      <c r="M32" s="549"/>
      <c r="N32" s="550"/>
      <c r="O32" s="551"/>
    </row>
    <row r="33" spans="1:15" s="552" customFormat="1" ht="15" customHeight="1" x14ac:dyDescent="0.25">
      <c r="A33" s="543"/>
      <c r="B33" s="544" t="s">
        <v>658</v>
      </c>
      <c r="C33" s="513">
        <v>20193</v>
      </c>
      <c r="D33" s="545" t="s">
        <v>665</v>
      </c>
      <c r="E33" s="514" t="s">
        <v>666</v>
      </c>
      <c r="F33" s="546">
        <v>1.03</v>
      </c>
      <c r="G33" s="547">
        <v>3.14</v>
      </c>
      <c r="H33" s="548">
        <f>F33*G33</f>
        <v>3.2342000000000004</v>
      </c>
      <c r="I33" s="547"/>
      <c r="J33" s="549"/>
      <c r="K33" s="548"/>
      <c r="L33" s="547"/>
      <c r="M33" s="549"/>
      <c r="N33" s="550"/>
      <c r="O33" s="551"/>
    </row>
    <row r="34" spans="1:15" s="23" customFormat="1" ht="14.25" x14ac:dyDescent="0.2">
      <c r="A34" s="134"/>
      <c r="B34" s="129"/>
      <c r="C34" s="29"/>
      <c r="D34" s="117" t="s">
        <v>83</v>
      </c>
      <c r="E34" s="30"/>
      <c r="F34" s="118"/>
      <c r="G34" s="31"/>
      <c r="H34" s="104"/>
      <c r="I34" s="27"/>
      <c r="J34" s="105"/>
      <c r="K34" s="104"/>
      <c r="L34" s="27"/>
      <c r="M34" s="105"/>
      <c r="N34" s="93"/>
      <c r="O34" s="93"/>
    </row>
    <row r="35" spans="1:15" s="23" customFormat="1" ht="14.25" x14ac:dyDescent="0.2">
      <c r="A35" s="223"/>
      <c r="B35" s="224" t="s">
        <v>80</v>
      </c>
      <c r="C35" s="225" t="s">
        <v>300</v>
      </c>
      <c r="D35" s="226" t="s">
        <v>224</v>
      </c>
      <c r="E35" s="225" t="s">
        <v>81</v>
      </c>
      <c r="F35" s="515">
        <v>12</v>
      </c>
      <c r="G35" s="228"/>
      <c r="H35" s="229">
        <v>172.5</v>
      </c>
      <c r="I35" s="230"/>
      <c r="J35" s="231">
        <f>(H35+I35)</f>
        <v>172.5</v>
      </c>
      <c r="K35" s="229">
        <f>F35*H35</f>
        <v>2070</v>
      </c>
      <c r="L35" s="230">
        <f>F35*I35</f>
        <v>0</v>
      </c>
      <c r="M35" s="231">
        <f>K35+L35</f>
        <v>2070</v>
      </c>
      <c r="N35" s="227">
        <f>M35*$N$7</f>
        <v>560.55599999999993</v>
      </c>
      <c r="O35" s="227">
        <f>M35+N35</f>
        <v>2630.556</v>
      </c>
    </row>
    <row r="36" spans="1:15" s="23" customFormat="1" ht="14.25" x14ac:dyDescent="0.2">
      <c r="A36" s="134"/>
      <c r="B36" s="129"/>
      <c r="C36" s="29"/>
      <c r="D36" s="117" t="s">
        <v>83</v>
      </c>
      <c r="E36" s="30"/>
      <c r="F36" s="118"/>
      <c r="G36" s="31"/>
      <c r="H36" s="104"/>
      <c r="I36" s="27"/>
      <c r="J36" s="105"/>
      <c r="K36" s="104"/>
      <c r="L36" s="27"/>
      <c r="M36" s="105"/>
      <c r="N36" s="93"/>
      <c r="O36" s="93"/>
    </row>
    <row r="37" spans="1:15" s="23" customFormat="1" ht="14.25" x14ac:dyDescent="0.2">
      <c r="A37" s="223"/>
      <c r="B37" s="224" t="s">
        <v>80</v>
      </c>
      <c r="C37" s="225" t="s">
        <v>529</v>
      </c>
      <c r="D37" s="226" t="s">
        <v>984</v>
      </c>
      <c r="E37" s="225" t="s">
        <v>81</v>
      </c>
      <c r="F37" s="515">
        <v>5</v>
      </c>
      <c r="G37" s="228"/>
      <c r="H37" s="229">
        <v>602.5</v>
      </c>
      <c r="I37" s="230"/>
      <c r="J37" s="231">
        <f>(H37+I37)</f>
        <v>602.5</v>
      </c>
      <c r="K37" s="229">
        <f>F37*H37</f>
        <v>3012.5</v>
      </c>
      <c r="L37" s="230">
        <f>F37*I37</f>
        <v>0</v>
      </c>
      <c r="M37" s="231">
        <f>K37+L37</f>
        <v>3012.5</v>
      </c>
      <c r="N37" s="227">
        <f>M37*$N$7</f>
        <v>815.78499999999997</v>
      </c>
      <c r="O37" s="227">
        <f>M37+N37</f>
        <v>3828.2849999999999</v>
      </c>
    </row>
    <row r="38" spans="1:15" s="23" customFormat="1" ht="14.25" x14ac:dyDescent="0.2">
      <c r="A38" s="134"/>
      <c r="B38" s="129"/>
      <c r="C38" s="29"/>
      <c r="D38" s="117" t="s">
        <v>83</v>
      </c>
      <c r="E38" s="30"/>
      <c r="F38" s="118"/>
      <c r="G38" s="31"/>
      <c r="H38" s="104"/>
      <c r="I38" s="27"/>
      <c r="J38" s="105"/>
      <c r="K38" s="104"/>
      <c r="L38" s="27"/>
      <c r="M38" s="105"/>
      <c r="N38" s="93"/>
      <c r="O38" s="93"/>
    </row>
    <row r="39" spans="1:15" s="23" customFormat="1" ht="34.5" customHeight="1" x14ac:dyDescent="0.2">
      <c r="A39" s="223" t="s">
        <v>78</v>
      </c>
      <c r="B39" s="224">
        <v>68053</v>
      </c>
      <c r="C39" s="225" t="s">
        <v>588</v>
      </c>
      <c r="D39" s="232" t="s">
        <v>1000</v>
      </c>
      <c r="E39" s="225" t="s">
        <v>94</v>
      </c>
      <c r="F39" s="515">
        <v>150</v>
      </c>
      <c r="G39" s="228"/>
      <c r="H39" s="229">
        <f>ROUND(SUM(H40:H42),2)</f>
        <v>6.24</v>
      </c>
      <c r="I39" s="229">
        <f>ROUND(SUM(I40:I42),2)</f>
        <v>1.43</v>
      </c>
      <c r="J39" s="231">
        <f>(H39+I39)</f>
        <v>7.67</v>
      </c>
      <c r="K39" s="229">
        <f>F39*H39</f>
        <v>936</v>
      </c>
      <c r="L39" s="230">
        <f>F39*I39</f>
        <v>214.5</v>
      </c>
      <c r="M39" s="231">
        <f>K39+L39</f>
        <v>1150.5</v>
      </c>
      <c r="N39" s="227">
        <f>M39*$N$7</f>
        <v>311.55539999999996</v>
      </c>
      <c r="O39" s="227">
        <f>M39+N39</f>
        <v>1462.0554</v>
      </c>
    </row>
    <row r="40" spans="1:15" s="552" customFormat="1" ht="15" customHeight="1" x14ac:dyDescent="0.25">
      <c r="A40" s="543"/>
      <c r="B40" s="544" t="s">
        <v>658</v>
      </c>
      <c r="C40" s="513">
        <v>6111</v>
      </c>
      <c r="D40" s="545" t="s">
        <v>670</v>
      </c>
      <c r="E40" s="514" t="s">
        <v>42</v>
      </c>
      <c r="F40" s="546">
        <v>0.16</v>
      </c>
      <c r="G40" s="547">
        <v>8.92</v>
      </c>
      <c r="H40" s="548"/>
      <c r="I40" s="547">
        <f>F40*G40</f>
        <v>1.4272</v>
      </c>
      <c r="J40" s="549"/>
      <c r="K40" s="548"/>
      <c r="L40" s="547"/>
      <c r="M40" s="549"/>
      <c r="N40" s="550"/>
      <c r="O40" s="551"/>
    </row>
    <row r="41" spans="1:15" s="552" customFormat="1" ht="15" customHeight="1" x14ac:dyDescent="0.25">
      <c r="A41" s="543"/>
      <c r="B41" s="544"/>
      <c r="C41" s="513"/>
      <c r="D41" s="545" t="s">
        <v>999</v>
      </c>
      <c r="E41" s="514" t="s">
        <v>669</v>
      </c>
      <c r="F41" s="546">
        <v>1.1000000000000001</v>
      </c>
      <c r="G41" s="547">
        <v>3.92</v>
      </c>
      <c r="H41" s="548">
        <f>F41*G41</f>
        <v>4.3120000000000003</v>
      </c>
      <c r="I41" s="547"/>
      <c r="J41" s="549"/>
      <c r="K41" s="548"/>
      <c r="L41" s="547"/>
      <c r="M41" s="549"/>
      <c r="N41" s="550"/>
      <c r="O41" s="551"/>
    </row>
    <row r="42" spans="1:15" s="552" customFormat="1" ht="15" customHeight="1" x14ac:dyDescent="0.25">
      <c r="A42" s="543"/>
      <c r="B42" s="544" t="s">
        <v>658</v>
      </c>
      <c r="C42" s="513">
        <v>3777</v>
      </c>
      <c r="D42" s="545" t="s">
        <v>668</v>
      </c>
      <c r="E42" s="514" t="s">
        <v>669</v>
      </c>
      <c r="F42" s="546">
        <v>1.1000000000000001</v>
      </c>
      <c r="G42" s="547">
        <v>1.75</v>
      </c>
      <c r="H42" s="548">
        <f>F42*G42</f>
        <v>1.9250000000000003</v>
      </c>
      <c r="I42" s="547"/>
      <c r="J42" s="549"/>
      <c r="K42" s="548"/>
      <c r="L42" s="547"/>
      <c r="M42" s="549"/>
      <c r="N42" s="550"/>
      <c r="O42" s="551"/>
    </row>
    <row r="43" spans="1:15" s="23" customFormat="1" ht="14.25" x14ac:dyDescent="0.2">
      <c r="A43" s="134"/>
      <c r="B43" s="129"/>
      <c r="C43" s="29"/>
      <c r="D43" s="117" t="s">
        <v>83</v>
      </c>
      <c r="E43" s="30"/>
      <c r="F43" s="118"/>
      <c r="G43" s="31"/>
      <c r="H43" s="104"/>
      <c r="I43" s="27"/>
      <c r="J43" s="105"/>
      <c r="K43" s="104"/>
      <c r="L43" s="27"/>
      <c r="M43" s="105"/>
      <c r="N43" s="93"/>
      <c r="O43" s="93"/>
    </row>
    <row r="44" spans="1:15" s="23" customFormat="1" ht="45" x14ac:dyDescent="0.2">
      <c r="A44" s="223" t="s">
        <v>78</v>
      </c>
      <c r="B44" s="224" t="s">
        <v>587</v>
      </c>
      <c r="C44" s="225" t="s">
        <v>589</v>
      </c>
      <c r="D44" s="226" t="s">
        <v>590</v>
      </c>
      <c r="E44" s="225" t="s">
        <v>94</v>
      </c>
      <c r="F44" s="515">
        <f>30*2.2</f>
        <v>66</v>
      </c>
      <c r="G44" s="228"/>
      <c r="H44" s="229">
        <f>ROUND(SUM(H45:H52),2)</f>
        <v>7.04</v>
      </c>
      <c r="I44" s="229">
        <f>ROUND(SUM(I45:I52),2)</f>
        <v>15.25</v>
      </c>
      <c r="J44" s="231">
        <f>(H44+I44)</f>
        <v>22.29</v>
      </c>
      <c r="K44" s="229">
        <f>F44*H44</f>
        <v>464.64</v>
      </c>
      <c r="L44" s="230">
        <f>F44*I44</f>
        <v>1006.5</v>
      </c>
      <c r="M44" s="231">
        <f>K44+L44</f>
        <v>1471.1399999999999</v>
      </c>
      <c r="N44" s="227">
        <f>M44*$N$7</f>
        <v>398.38471199999992</v>
      </c>
      <c r="O44" s="227">
        <f>M44+N44</f>
        <v>1869.5247119999999</v>
      </c>
    </row>
    <row r="45" spans="1:15" s="552" customFormat="1" ht="15" customHeight="1" x14ac:dyDescent="0.25">
      <c r="A45" s="543"/>
      <c r="B45" s="544" t="s">
        <v>658</v>
      </c>
      <c r="C45" s="513">
        <v>1213</v>
      </c>
      <c r="D45" s="545" t="s">
        <v>676</v>
      </c>
      <c r="E45" s="514" t="s">
        <v>42</v>
      </c>
      <c r="F45" s="546">
        <v>0.8</v>
      </c>
      <c r="G45" s="547">
        <v>12.57</v>
      </c>
      <c r="H45" s="548"/>
      <c r="I45" s="547">
        <f>F45*G45</f>
        <v>10.056000000000001</v>
      </c>
      <c r="J45" s="549"/>
      <c r="K45" s="548"/>
      <c r="L45" s="547"/>
      <c r="M45" s="549"/>
      <c r="N45" s="550"/>
      <c r="O45" s="551"/>
    </row>
    <row r="46" spans="1:15" s="552" customFormat="1" ht="15" customHeight="1" x14ac:dyDescent="0.25">
      <c r="A46" s="543"/>
      <c r="B46" s="544" t="s">
        <v>658</v>
      </c>
      <c r="C46" s="513">
        <v>4783</v>
      </c>
      <c r="D46" s="545" t="s">
        <v>677</v>
      </c>
      <c r="E46" s="514" t="s">
        <v>42</v>
      </c>
      <c r="F46" s="546">
        <v>0.3</v>
      </c>
      <c r="G46" s="547">
        <v>12.57</v>
      </c>
      <c r="H46" s="548"/>
      <c r="I46" s="547">
        <f>F46*G46</f>
        <v>3.7709999999999999</v>
      </c>
      <c r="J46" s="549"/>
      <c r="K46" s="548"/>
      <c r="L46" s="547"/>
      <c r="M46" s="549"/>
      <c r="N46" s="550"/>
      <c r="O46" s="551"/>
    </row>
    <row r="47" spans="1:15" s="552" customFormat="1" ht="15" customHeight="1" x14ac:dyDescent="0.25">
      <c r="A47" s="543"/>
      <c r="B47" s="544" t="s">
        <v>658</v>
      </c>
      <c r="C47" s="513">
        <v>6111</v>
      </c>
      <c r="D47" s="545" t="s">
        <v>670</v>
      </c>
      <c r="E47" s="514" t="s">
        <v>42</v>
      </c>
      <c r="F47" s="546">
        <v>0.16</v>
      </c>
      <c r="G47" s="547">
        <v>8.92</v>
      </c>
      <c r="H47" s="548"/>
      <c r="I47" s="547">
        <f>F47*G47</f>
        <v>1.4272</v>
      </c>
      <c r="J47" s="549"/>
      <c r="K47" s="548"/>
      <c r="L47" s="547"/>
      <c r="M47" s="549"/>
      <c r="N47" s="550"/>
      <c r="O47" s="551"/>
    </row>
    <row r="48" spans="1:15" s="552" customFormat="1" ht="15" customHeight="1" x14ac:dyDescent="0.25">
      <c r="A48" s="543"/>
      <c r="B48" s="544" t="s">
        <v>658</v>
      </c>
      <c r="C48" s="513">
        <v>1106</v>
      </c>
      <c r="D48" s="545" t="s">
        <v>672</v>
      </c>
      <c r="E48" s="514" t="s">
        <v>48</v>
      </c>
      <c r="F48" s="546">
        <v>0.6</v>
      </c>
      <c r="G48" s="547">
        <v>0.27</v>
      </c>
      <c r="H48" s="548">
        <f>F48*G48</f>
        <v>0.16200000000000001</v>
      </c>
      <c r="I48" s="547"/>
      <c r="J48" s="549"/>
      <c r="K48" s="548"/>
      <c r="L48" s="547"/>
      <c r="M48" s="549"/>
      <c r="N48" s="550"/>
      <c r="O48" s="551"/>
    </row>
    <row r="49" spans="1:15" s="552" customFormat="1" ht="15" customHeight="1" x14ac:dyDescent="0.25">
      <c r="A49" s="543"/>
      <c r="B49" s="544" t="s">
        <v>658</v>
      </c>
      <c r="C49" s="513">
        <v>1351</v>
      </c>
      <c r="D49" s="545" t="s">
        <v>673</v>
      </c>
      <c r="E49" s="514" t="s">
        <v>41</v>
      </c>
      <c r="F49" s="546">
        <v>0.22720000000000001</v>
      </c>
      <c r="G49" s="547">
        <v>1.58</v>
      </c>
      <c r="H49" s="548">
        <f>F49*G49</f>
        <v>0.35897600000000002</v>
      </c>
      <c r="I49" s="547"/>
      <c r="J49" s="549"/>
      <c r="K49" s="548"/>
      <c r="L49" s="547"/>
      <c r="M49" s="549"/>
      <c r="N49" s="550"/>
      <c r="O49" s="551"/>
    </row>
    <row r="50" spans="1:15" s="552" customFormat="1" ht="15" customHeight="1" x14ac:dyDescent="0.25">
      <c r="A50" s="543"/>
      <c r="B50" s="544" t="s">
        <v>657</v>
      </c>
      <c r="C50" s="513">
        <v>4491</v>
      </c>
      <c r="D50" s="545" t="s">
        <v>659</v>
      </c>
      <c r="E50" s="514" t="s">
        <v>56</v>
      </c>
      <c r="F50" s="546">
        <v>1.58</v>
      </c>
      <c r="G50" s="547">
        <v>3.25</v>
      </c>
      <c r="H50" s="548">
        <f>F50*G50</f>
        <v>5.1349999999999998</v>
      </c>
      <c r="I50" s="547"/>
      <c r="J50" s="549"/>
      <c r="K50" s="548"/>
      <c r="L50" s="547"/>
      <c r="M50" s="549"/>
      <c r="N50" s="550"/>
      <c r="O50" s="551"/>
    </row>
    <row r="51" spans="1:15" s="552" customFormat="1" ht="15" customHeight="1" x14ac:dyDescent="0.25">
      <c r="A51" s="543"/>
      <c r="B51" s="544" t="s">
        <v>657</v>
      </c>
      <c r="C51" s="513">
        <v>5061</v>
      </c>
      <c r="D51" s="545" t="s">
        <v>674</v>
      </c>
      <c r="E51" s="514" t="s">
        <v>97</v>
      </c>
      <c r="F51" s="546">
        <v>0.15</v>
      </c>
      <c r="G51" s="547">
        <v>7.11</v>
      </c>
      <c r="H51" s="548">
        <f>F51*G51</f>
        <v>1.0665</v>
      </c>
      <c r="I51" s="547"/>
      <c r="J51" s="549"/>
      <c r="K51" s="548"/>
      <c r="L51" s="547"/>
      <c r="M51" s="549"/>
      <c r="N51" s="550"/>
      <c r="O51" s="551"/>
    </row>
    <row r="52" spans="1:15" s="552" customFormat="1" ht="15" customHeight="1" x14ac:dyDescent="0.25">
      <c r="A52" s="543"/>
      <c r="B52" s="544" t="s">
        <v>657</v>
      </c>
      <c r="C52" s="513">
        <v>5333</v>
      </c>
      <c r="D52" s="545" t="s">
        <v>675</v>
      </c>
      <c r="E52" s="514" t="s">
        <v>234</v>
      </c>
      <c r="F52" s="546">
        <v>2.1999999999999999E-2</v>
      </c>
      <c r="G52" s="547">
        <v>14.44</v>
      </c>
      <c r="H52" s="548">
        <f>F52*G52</f>
        <v>0.31767999999999996</v>
      </c>
      <c r="I52" s="547"/>
      <c r="J52" s="549"/>
      <c r="K52" s="548"/>
      <c r="L52" s="547"/>
      <c r="M52" s="549"/>
      <c r="N52" s="550"/>
      <c r="O52" s="551"/>
    </row>
    <row r="53" spans="1:15" s="189" customFormat="1" ht="11.25" x14ac:dyDescent="0.25">
      <c r="A53" s="173"/>
      <c r="B53" s="174"/>
      <c r="C53" s="175"/>
      <c r="D53" s="176"/>
      <c r="E53" s="177"/>
      <c r="F53" s="190"/>
      <c r="G53" s="192"/>
      <c r="H53" s="193"/>
      <c r="I53" s="182"/>
      <c r="J53" s="183"/>
      <c r="K53" s="184"/>
      <c r="L53" s="185"/>
      <c r="M53" s="186"/>
      <c r="N53" s="187"/>
      <c r="O53" s="188"/>
    </row>
    <row r="54" spans="1:15" s="23" customFormat="1" ht="14.25" x14ac:dyDescent="0.2">
      <c r="A54" s="223" t="s">
        <v>78</v>
      </c>
      <c r="B54" s="224">
        <v>9537</v>
      </c>
      <c r="C54" s="225" t="s">
        <v>986</v>
      </c>
      <c r="D54" s="226" t="s">
        <v>220</v>
      </c>
      <c r="E54" s="225" t="s">
        <v>94</v>
      </c>
      <c r="F54" s="515">
        <v>600</v>
      </c>
      <c r="G54" s="228"/>
      <c r="H54" s="229">
        <f>ROUND(SUM(H55:H56),2)</f>
        <v>0.16</v>
      </c>
      <c r="I54" s="229">
        <f>ROUND(SUM(I55:I56),2)</f>
        <v>1.25</v>
      </c>
      <c r="J54" s="231">
        <f>(H54+I54)</f>
        <v>1.41</v>
      </c>
      <c r="K54" s="229">
        <f>F54*H54</f>
        <v>96</v>
      </c>
      <c r="L54" s="230">
        <f>F54*I54</f>
        <v>750</v>
      </c>
      <c r="M54" s="231">
        <f>K54+L54</f>
        <v>846</v>
      </c>
      <c r="N54" s="227">
        <f>M54*$N$7</f>
        <v>229.09679999999997</v>
      </c>
      <c r="O54" s="227">
        <f>M54+N54</f>
        <v>1075.0968</v>
      </c>
    </row>
    <row r="55" spans="1:15" s="552" customFormat="1" ht="15" customHeight="1" x14ac:dyDescent="0.25">
      <c r="A55" s="543"/>
      <c r="B55" s="544" t="s">
        <v>658</v>
      </c>
      <c r="C55" s="513">
        <v>6111</v>
      </c>
      <c r="D55" s="545" t="s">
        <v>670</v>
      </c>
      <c r="E55" s="514" t="s">
        <v>42</v>
      </c>
      <c r="F55" s="546">
        <v>0.14000000000000001</v>
      </c>
      <c r="G55" s="547">
        <v>8.92</v>
      </c>
      <c r="H55" s="548"/>
      <c r="I55" s="547">
        <f>F55*G55</f>
        <v>1.2488000000000001</v>
      </c>
      <c r="J55" s="549"/>
      <c r="K55" s="548"/>
      <c r="L55" s="547"/>
      <c r="M55" s="549"/>
      <c r="N55" s="550"/>
      <c r="O55" s="551"/>
    </row>
    <row r="56" spans="1:15" s="552" customFormat="1" ht="15" customHeight="1" x14ac:dyDescent="0.25">
      <c r="A56" s="543"/>
      <c r="B56" s="544" t="s">
        <v>657</v>
      </c>
      <c r="C56" s="513">
        <v>3</v>
      </c>
      <c r="D56" s="545" t="s">
        <v>678</v>
      </c>
      <c r="E56" s="514" t="s">
        <v>234</v>
      </c>
      <c r="F56" s="546">
        <v>0.05</v>
      </c>
      <c r="G56" s="547">
        <v>3.23</v>
      </c>
      <c r="H56" s="548">
        <f>F56*G56</f>
        <v>0.1615</v>
      </c>
      <c r="I56" s="547"/>
      <c r="J56" s="549"/>
      <c r="K56" s="548"/>
      <c r="L56" s="547"/>
      <c r="M56" s="549"/>
      <c r="N56" s="550"/>
      <c r="O56" s="551"/>
    </row>
    <row r="57" spans="1:15" s="23" customFormat="1" ht="14.25" x14ac:dyDescent="0.2">
      <c r="A57" s="134"/>
      <c r="B57" s="129"/>
      <c r="C57" s="29"/>
      <c r="D57" s="117" t="s">
        <v>83</v>
      </c>
      <c r="E57" s="30"/>
      <c r="F57" s="118"/>
      <c r="G57" s="31"/>
      <c r="H57" s="104"/>
      <c r="I57" s="27"/>
      <c r="J57" s="105"/>
      <c r="K57" s="104"/>
      <c r="L57" s="27"/>
      <c r="M57" s="105"/>
      <c r="N57" s="93"/>
      <c r="O57" s="93"/>
    </row>
    <row r="58" spans="1:15" s="23" customFormat="1" ht="15.75" x14ac:dyDescent="0.2">
      <c r="A58" s="149"/>
      <c r="B58" s="150"/>
      <c r="C58" s="511">
        <v>3</v>
      </c>
      <c r="D58" s="151" t="s">
        <v>244</v>
      </c>
      <c r="E58" s="152"/>
      <c r="F58" s="151"/>
      <c r="G58" s="152"/>
      <c r="H58" s="153"/>
      <c r="I58" s="154"/>
      <c r="J58" s="155"/>
      <c r="K58" s="153"/>
      <c r="L58" s="154"/>
      <c r="M58" s="155"/>
      <c r="N58" s="156"/>
      <c r="O58" s="157">
        <f>SUM(O60:O494)/2</f>
        <v>86810.823581940014</v>
      </c>
    </row>
    <row r="59" spans="1:15" s="23" customFormat="1" ht="14.25" x14ac:dyDescent="0.2">
      <c r="A59" s="134"/>
      <c r="B59" s="129"/>
      <c r="C59" s="29"/>
      <c r="D59" s="117"/>
      <c r="E59" s="30"/>
      <c r="F59" s="118"/>
      <c r="G59" s="31"/>
      <c r="H59" s="104"/>
      <c r="I59" s="27"/>
      <c r="J59" s="105"/>
      <c r="K59" s="104"/>
      <c r="L59" s="27"/>
      <c r="M59" s="105"/>
      <c r="N59" s="93"/>
      <c r="O59" s="93"/>
    </row>
    <row r="60" spans="1:15" s="266" customFormat="1" ht="12.75" x14ac:dyDescent="0.2">
      <c r="A60" s="516"/>
      <c r="B60" s="517"/>
      <c r="C60" s="518" t="s">
        <v>177</v>
      </c>
      <c r="D60" s="519" t="s">
        <v>167</v>
      </c>
      <c r="E60" s="520"/>
      <c r="F60" s="519"/>
      <c r="G60" s="520"/>
      <c r="H60" s="521"/>
      <c r="I60" s="522"/>
      <c r="J60" s="523"/>
      <c r="K60" s="521"/>
      <c r="L60" s="522"/>
      <c r="M60" s="523"/>
      <c r="N60" s="524"/>
      <c r="O60" s="525">
        <f>SUM(O62:O101)</f>
        <v>6472.1636859599994</v>
      </c>
    </row>
    <row r="61" spans="1:15" s="23" customFormat="1" ht="14.25" x14ac:dyDescent="0.2">
      <c r="A61" s="134"/>
      <c r="B61" s="130"/>
      <c r="C61" s="34"/>
      <c r="D61" s="117" t="s">
        <v>83</v>
      </c>
      <c r="E61" s="30"/>
      <c r="F61" s="118"/>
      <c r="G61" s="31"/>
      <c r="H61" s="104"/>
      <c r="I61" s="27"/>
      <c r="J61" s="105"/>
      <c r="K61" s="104"/>
      <c r="L61" s="27"/>
      <c r="M61" s="105"/>
      <c r="N61" s="91"/>
      <c r="O61" s="91"/>
    </row>
    <row r="62" spans="1:15" s="23" customFormat="1" ht="22.5" x14ac:dyDescent="0.2">
      <c r="A62" s="223" t="s">
        <v>78</v>
      </c>
      <c r="B62" s="224">
        <v>85367</v>
      </c>
      <c r="C62" s="225" t="s">
        <v>301</v>
      </c>
      <c r="D62" s="226" t="s">
        <v>227</v>
      </c>
      <c r="E62" s="225" t="s">
        <v>27</v>
      </c>
      <c r="F62" s="515">
        <f>'MEMÓRIA DE CÁLCULO'!D10</f>
        <v>66</v>
      </c>
      <c r="G62" s="228"/>
      <c r="H62" s="229">
        <f>ROUND(SUM(H63:H64),2)</f>
        <v>0</v>
      </c>
      <c r="I62" s="229">
        <f>ROUND(SUM(I63:I64),2)</f>
        <v>8.76</v>
      </c>
      <c r="J62" s="231">
        <f>(H62+I62)</f>
        <v>8.76</v>
      </c>
      <c r="K62" s="229">
        <f>F62*H62</f>
        <v>0</v>
      </c>
      <c r="L62" s="230">
        <f>F62*I62</f>
        <v>578.16</v>
      </c>
      <c r="M62" s="231">
        <f>K62+L62</f>
        <v>578.16</v>
      </c>
      <c r="N62" s="227">
        <f>M62*$N$7</f>
        <v>156.56572799999998</v>
      </c>
      <c r="O62" s="227">
        <f>M62+N62</f>
        <v>734.72572799999989</v>
      </c>
    </row>
    <row r="63" spans="1:15" s="552" customFormat="1" ht="15" customHeight="1" x14ac:dyDescent="0.25">
      <c r="A63" s="543"/>
      <c r="B63" s="544" t="s">
        <v>658</v>
      </c>
      <c r="C63" s="513">
        <v>4750</v>
      </c>
      <c r="D63" s="545" t="s">
        <v>679</v>
      </c>
      <c r="E63" s="514" t="s">
        <v>42</v>
      </c>
      <c r="F63" s="546">
        <v>0.2</v>
      </c>
      <c r="G63" s="547">
        <v>12.57</v>
      </c>
      <c r="H63" s="548"/>
      <c r="I63" s="547">
        <f>F63*G63</f>
        <v>2.5140000000000002</v>
      </c>
      <c r="J63" s="549"/>
      <c r="K63" s="548"/>
      <c r="L63" s="547"/>
      <c r="M63" s="549"/>
      <c r="N63" s="550"/>
      <c r="O63" s="551"/>
    </row>
    <row r="64" spans="1:15" s="552" customFormat="1" ht="15" customHeight="1" x14ac:dyDescent="0.25">
      <c r="A64" s="543"/>
      <c r="B64" s="544" t="s">
        <v>658</v>
      </c>
      <c r="C64" s="513">
        <v>6111</v>
      </c>
      <c r="D64" s="545" t="s">
        <v>670</v>
      </c>
      <c r="E64" s="514" t="s">
        <v>42</v>
      </c>
      <c r="F64" s="546">
        <v>0.7</v>
      </c>
      <c r="G64" s="547">
        <v>8.92</v>
      </c>
      <c r="H64" s="548"/>
      <c r="I64" s="547">
        <f>F64*G64</f>
        <v>6.2439999999999998</v>
      </c>
      <c r="J64" s="549"/>
      <c r="K64" s="548"/>
      <c r="L64" s="547"/>
      <c r="M64" s="549"/>
      <c r="N64" s="550"/>
      <c r="O64" s="551"/>
    </row>
    <row r="65" spans="1:15" s="167" customFormat="1" ht="11.25" x14ac:dyDescent="0.2">
      <c r="A65" s="170"/>
      <c r="B65" s="129"/>
      <c r="C65" s="29"/>
      <c r="D65" s="117"/>
      <c r="E65" s="30"/>
      <c r="F65" s="118"/>
      <c r="G65" s="31"/>
      <c r="H65" s="104"/>
      <c r="I65" s="27"/>
      <c r="J65" s="105"/>
      <c r="K65" s="104"/>
      <c r="L65" s="27"/>
      <c r="M65" s="105"/>
      <c r="N65" s="93"/>
      <c r="O65" s="206"/>
    </row>
    <row r="66" spans="1:15" s="23" customFormat="1" ht="22.5" x14ac:dyDescent="0.2">
      <c r="A66" s="223" t="s">
        <v>78</v>
      </c>
      <c r="B66" s="224">
        <v>72223</v>
      </c>
      <c r="C66" s="225" t="s">
        <v>302</v>
      </c>
      <c r="D66" s="226" t="s">
        <v>225</v>
      </c>
      <c r="E66" s="225" t="s">
        <v>58</v>
      </c>
      <c r="F66" s="515">
        <f>'MEMÓRIA DE CÁLCULO'!D13</f>
        <v>41</v>
      </c>
      <c r="G66" s="228"/>
      <c r="H66" s="229">
        <f>ROUND(SUM(H67:H68),2)</f>
        <v>0</v>
      </c>
      <c r="I66" s="229">
        <f>ROUND(SUM(I67:I68),2)</f>
        <v>9.91</v>
      </c>
      <c r="J66" s="231">
        <f>(H66+I66)</f>
        <v>9.91</v>
      </c>
      <c r="K66" s="229">
        <f>F66*H66</f>
        <v>0</v>
      </c>
      <c r="L66" s="230">
        <f>F66*I66</f>
        <v>406.31</v>
      </c>
      <c r="M66" s="231">
        <f>K66+L66</f>
        <v>406.31</v>
      </c>
      <c r="N66" s="227">
        <f>M66*$N$7</f>
        <v>110.02874799999999</v>
      </c>
      <c r="O66" s="227">
        <f>M66+N66</f>
        <v>516.33874800000001</v>
      </c>
    </row>
    <row r="67" spans="1:15" s="552" customFormat="1" ht="15" customHeight="1" x14ac:dyDescent="0.25">
      <c r="A67" s="543"/>
      <c r="B67" s="544" t="s">
        <v>658</v>
      </c>
      <c r="C67" s="513">
        <v>1214</v>
      </c>
      <c r="D67" s="545" t="s">
        <v>680</v>
      </c>
      <c r="E67" s="514" t="s">
        <v>42</v>
      </c>
      <c r="F67" s="546">
        <v>0.8</v>
      </c>
      <c r="G67" s="547">
        <v>12.39</v>
      </c>
      <c r="H67" s="548"/>
      <c r="I67" s="547">
        <f>F67*G67</f>
        <v>9.9120000000000008</v>
      </c>
      <c r="J67" s="549"/>
      <c r="K67" s="548"/>
      <c r="L67" s="547"/>
      <c r="M67" s="549"/>
      <c r="N67" s="550"/>
      <c r="O67" s="551"/>
    </row>
    <row r="68" spans="1:15" s="167" customFormat="1" ht="11.25" x14ac:dyDescent="0.2">
      <c r="A68" s="170"/>
      <c r="B68" s="129"/>
      <c r="C68" s="29"/>
      <c r="D68" s="117" t="s">
        <v>83</v>
      </c>
      <c r="E68" s="30"/>
      <c r="F68" s="118"/>
      <c r="G68" s="31"/>
      <c r="H68" s="104"/>
      <c r="I68" s="27"/>
      <c r="J68" s="105"/>
      <c r="K68" s="104"/>
      <c r="L68" s="27"/>
      <c r="M68" s="105"/>
      <c r="N68" s="92"/>
      <c r="O68" s="169"/>
    </row>
    <row r="69" spans="1:15" s="23" customFormat="1" ht="22.5" x14ac:dyDescent="0.2">
      <c r="A69" s="223" t="s">
        <v>78</v>
      </c>
      <c r="B69" s="224" t="s">
        <v>681</v>
      </c>
      <c r="C69" s="225" t="s">
        <v>303</v>
      </c>
      <c r="D69" s="226" t="s">
        <v>226</v>
      </c>
      <c r="E69" s="225" t="s">
        <v>27</v>
      </c>
      <c r="F69" s="515">
        <f>'MEMÓRIA DE CÁLCULO'!I31+'MEMÓRIA DE CÁLCULO'!I33+'MEMÓRIA DE CÁLCULO'!I34+'MEMÓRIA DE CÁLCULO'!I35+'MEMÓRIA DE CÁLCULO'!I36</f>
        <v>63.5</v>
      </c>
      <c r="G69" s="228"/>
      <c r="H69" s="229">
        <f>ROUND(SUM(H70:H71),2)</f>
        <v>0</v>
      </c>
      <c r="I69" s="229">
        <f>ROUND(SUM(I70:I71),2)</f>
        <v>4.26</v>
      </c>
      <c r="J69" s="231">
        <f>(H69+I69)</f>
        <v>4.26</v>
      </c>
      <c r="K69" s="229">
        <f>F69*H69</f>
        <v>0</v>
      </c>
      <c r="L69" s="230">
        <f>F69*I69</f>
        <v>270.51</v>
      </c>
      <c r="M69" s="231">
        <f>K69+L69</f>
        <v>270.51</v>
      </c>
      <c r="N69" s="227">
        <f>M69*$N$7</f>
        <v>73.254107999999988</v>
      </c>
      <c r="O69" s="227">
        <f>M69+N69</f>
        <v>343.76410799999996</v>
      </c>
    </row>
    <row r="70" spans="1:15" s="552" customFormat="1" ht="15" customHeight="1" x14ac:dyDescent="0.25">
      <c r="A70" s="543"/>
      <c r="B70" s="544" t="s">
        <v>658</v>
      </c>
      <c r="C70" s="513">
        <v>1214</v>
      </c>
      <c r="D70" s="545" t="s">
        <v>680</v>
      </c>
      <c r="E70" s="514" t="s">
        <v>42</v>
      </c>
      <c r="F70" s="546">
        <v>0.2</v>
      </c>
      <c r="G70" s="547">
        <v>12.39</v>
      </c>
      <c r="H70" s="548"/>
      <c r="I70" s="547">
        <f>F70*G70</f>
        <v>2.4780000000000002</v>
      </c>
      <c r="J70" s="549"/>
      <c r="K70" s="548"/>
      <c r="L70" s="547"/>
      <c r="M70" s="549"/>
      <c r="N70" s="550"/>
      <c r="O70" s="551"/>
    </row>
    <row r="71" spans="1:15" s="552" customFormat="1" ht="15" customHeight="1" x14ac:dyDescent="0.25">
      <c r="A71" s="543"/>
      <c r="B71" s="544" t="s">
        <v>658</v>
      </c>
      <c r="C71" s="513">
        <v>6111</v>
      </c>
      <c r="D71" s="545" t="s">
        <v>670</v>
      </c>
      <c r="E71" s="514" t="s">
        <v>42</v>
      </c>
      <c r="F71" s="546">
        <v>0.2</v>
      </c>
      <c r="G71" s="547">
        <v>8.92</v>
      </c>
      <c r="H71" s="548"/>
      <c r="I71" s="547">
        <f>F71*G71</f>
        <v>1.784</v>
      </c>
      <c r="J71" s="549"/>
      <c r="K71" s="548"/>
      <c r="L71" s="547"/>
      <c r="M71" s="549"/>
      <c r="N71" s="550"/>
      <c r="O71" s="551"/>
    </row>
    <row r="72" spans="1:15" s="167" customFormat="1" ht="11.25" x14ac:dyDescent="0.2">
      <c r="A72" s="170"/>
      <c r="B72" s="129"/>
      <c r="C72" s="29"/>
      <c r="D72" s="117" t="s">
        <v>83</v>
      </c>
      <c r="E72" s="30"/>
      <c r="F72" s="118"/>
      <c r="G72" s="31"/>
      <c r="H72" s="104"/>
      <c r="I72" s="27"/>
      <c r="J72" s="105"/>
      <c r="K72" s="104"/>
      <c r="L72" s="27"/>
      <c r="M72" s="105"/>
      <c r="N72" s="93"/>
      <c r="O72" s="206"/>
    </row>
    <row r="73" spans="1:15" s="23" customFormat="1" ht="22.5" x14ac:dyDescent="0.2">
      <c r="A73" s="223" t="s">
        <v>78</v>
      </c>
      <c r="B73" s="224">
        <v>85397</v>
      </c>
      <c r="C73" s="225" t="s">
        <v>304</v>
      </c>
      <c r="D73" s="226" t="s">
        <v>228</v>
      </c>
      <c r="E73" s="225" t="s">
        <v>27</v>
      </c>
      <c r="F73" s="515">
        <f>'MEMÓRIA DE CÁLCULO'!D16</f>
        <v>240</v>
      </c>
      <c r="G73" s="228"/>
      <c r="H73" s="229">
        <f>ROUND(SUM(H74:H75),2)</f>
        <v>0</v>
      </c>
      <c r="I73" s="229">
        <f>ROUND(SUM(I74:I75),2)</f>
        <v>12.21</v>
      </c>
      <c r="J73" s="231">
        <f>(H73+I73)</f>
        <v>12.21</v>
      </c>
      <c r="K73" s="229">
        <f>F73*H73</f>
        <v>0</v>
      </c>
      <c r="L73" s="230">
        <f>F73*I73</f>
        <v>2930.4</v>
      </c>
      <c r="M73" s="231">
        <f>K73+L73</f>
        <v>2930.4</v>
      </c>
      <c r="N73" s="227">
        <f>M73*$N$7</f>
        <v>793.55232000000001</v>
      </c>
      <c r="O73" s="227">
        <f>M73+N73</f>
        <v>3723.9523200000003</v>
      </c>
    </row>
    <row r="74" spans="1:15" s="552" customFormat="1" ht="15" customHeight="1" x14ac:dyDescent="0.25">
      <c r="A74" s="543"/>
      <c r="B74" s="544" t="s">
        <v>658</v>
      </c>
      <c r="C74" s="513">
        <v>4750</v>
      </c>
      <c r="D74" s="545" t="s">
        <v>679</v>
      </c>
      <c r="E74" s="514" t="s">
        <v>42</v>
      </c>
      <c r="F74" s="546">
        <v>0.12</v>
      </c>
      <c r="G74" s="547">
        <v>12.57</v>
      </c>
      <c r="H74" s="548"/>
      <c r="I74" s="547">
        <f>F74*G74</f>
        <v>1.5084</v>
      </c>
      <c r="J74" s="549"/>
      <c r="K74" s="548"/>
      <c r="L74" s="547"/>
      <c r="M74" s="549"/>
      <c r="N74" s="550"/>
      <c r="O74" s="551"/>
    </row>
    <row r="75" spans="1:15" s="552" customFormat="1" ht="15" customHeight="1" x14ac:dyDescent="0.25">
      <c r="A75" s="543"/>
      <c r="B75" s="544" t="s">
        <v>658</v>
      </c>
      <c r="C75" s="513">
        <v>6111</v>
      </c>
      <c r="D75" s="545" t="s">
        <v>670</v>
      </c>
      <c r="E75" s="514" t="s">
        <v>42</v>
      </c>
      <c r="F75" s="546">
        <v>1.2</v>
      </c>
      <c r="G75" s="547">
        <v>8.92</v>
      </c>
      <c r="H75" s="548"/>
      <c r="I75" s="547">
        <f>F75*G75</f>
        <v>10.703999999999999</v>
      </c>
      <c r="J75" s="549"/>
      <c r="K75" s="548"/>
      <c r="L75" s="547"/>
      <c r="M75" s="549"/>
      <c r="N75" s="550"/>
      <c r="O75" s="551"/>
    </row>
    <row r="76" spans="1:15" s="167" customFormat="1" ht="11.25" x14ac:dyDescent="0.2">
      <c r="A76" s="170"/>
      <c r="B76" s="129"/>
      <c r="C76" s="29"/>
      <c r="D76" s="117"/>
      <c r="E76" s="30"/>
      <c r="F76" s="118"/>
      <c r="G76" s="31"/>
      <c r="H76" s="104"/>
      <c r="I76" s="27"/>
      <c r="J76" s="105"/>
      <c r="K76" s="104"/>
      <c r="L76" s="27"/>
      <c r="M76" s="105"/>
      <c r="N76" s="93"/>
      <c r="O76" s="206"/>
    </row>
    <row r="77" spans="1:15" s="23" customFormat="1" ht="22.5" x14ac:dyDescent="0.2">
      <c r="A77" s="223"/>
      <c r="B77" s="224" t="s">
        <v>231</v>
      </c>
      <c r="C77" s="225" t="s">
        <v>305</v>
      </c>
      <c r="D77" s="226" t="s">
        <v>229</v>
      </c>
      <c r="E77" s="225" t="s">
        <v>58</v>
      </c>
      <c r="F77" s="515">
        <f>'MEMÓRIA DE CÁLCULO'!D19</f>
        <v>2</v>
      </c>
      <c r="G77" s="228"/>
      <c r="H77" s="229">
        <f>ROUND(SUM(H78:H79),2)</f>
        <v>0</v>
      </c>
      <c r="I77" s="229">
        <f>ROUND(SUM(I78),2)</f>
        <v>13.38</v>
      </c>
      <c r="J77" s="231">
        <f>(H77+I77)</f>
        <v>13.38</v>
      </c>
      <c r="K77" s="229">
        <f>F77*H77</f>
        <v>0</v>
      </c>
      <c r="L77" s="230">
        <f>F77*I77</f>
        <v>26.76</v>
      </c>
      <c r="M77" s="231">
        <f>K77+L77</f>
        <v>26.76</v>
      </c>
      <c r="N77" s="227">
        <f>M77*$N$7</f>
        <v>7.2466080000000002</v>
      </c>
      <c r="O77" s="227">
        <f>M77+N77</f>
        <v>34.006608</v>
      </c>
    </row>
    <row r="78" spans="1:15" s="552" customFormat="1" ht="15" customHeight="1" x14ac:dyDescent="0.25">
      <c r="A78" s="543"/>
      <c r="B78" s="544" t="s">
        <v>658</v>
      </c>
      <c r="C78" s="513">
        <v>6111</v>
      </c>
      <c r="D78" s="545" t="s">
        <v>670</v>
      </c>
      <c r="E78" s="514" t="s">
        <v>42</v>
      </c>
      <c r="F78" s="546">
        <v>1.5</v>
      </c>
      <c r="G78" s="547">
        <v>8.92</v>
      </c>
      <c r="H78" s="548"/>
      <c r="I78" s="547">
        <f>F78*G78</f>
        <v>13.379999999999999</v>
      </c>
      <c r="J78" s="549"/>
      <c r="K78" s="548"/>
      <c r="L78" s="547"/>
      <c r="M78" s="549"/>
      <c r="N78" s="550"/>
      <c r="O78" s="551"/>
    </row>
    <row r="79" spans="1:15" s="167" customFormat="1" ht="11.25" x14ac:dyDescent="0.2">
      <c r="A79" s="170"/>
      <c r="B79" s="129"/>
      <c r="C79" s="29"/>
      <c r="D79" s="117" t="s">
        <v>83</v>
      </c>
      <c r="E79" s="30"/>
      <c r="F79" s="118"/>
      <c r="G79" s="31"/>
      <c r="H79" s="104"/>
      <c r="I79" s="27"/>
      <c r="J79" s="105"/>
      <c r="K79" s="104"/>
      <c r="L79" s="27"/>
      <c r="M79" s="105"/>
      <c r="N79" s="93"/>
      <c r="O79" s="206"/>
    </row>
    <row r="80" spans="1:15" s="23" customFormat="1" ht="22.5" x14ac:dyDescent="0.2">
      <c r="A80" s="223"/>
      <c r="B80" s="224" t="s">
        <v>231</v>
      </c>
      <c r="C80" s="225" t="s">
        <v>306</v>
      </c>
      <c r="D80" s="226" t="s">
        <v>292</v>
      </c>
      <c r="E80" s="225" t="s">
        <v>41</v>
      </c>
      <c r="F80" s="515">
        <f>'MEMÓRIA DE CÁLCULO'!D22</f>
        <v>10</v>
      </c>
      <c r="G80" s="228"/>
      <c r="H80" s="229">
        <f>ROUND(SUM(H81:H82),2)</f>
        <v>0</v>
      </c>
      <c r="I80" s="229">
        <f>ROUND(SUM(I81),2)</f>
        <v>8.92</v>
      </c>
      <c r="J80" s="231">
        <f>(H80+I80)</f>
        <v>8.92</v>
      </c>
      <c r="K80" s="229">
        <f>F80*H80</f>
        <v>0</v>
      </c>
      <c r="L80" s="230">
        <f>F80*I80</f>
        <v>89.2</v>
      </c>
      <c r="M80" s="231">
        <f>K80+L80</f>
        <v>89.2</v>
      </c>
      <c r="N80" s="227">
        <f>M80*$N$7</f>
        <v>24.155359999999998</v>
      </c>
      <c r="O80" s="227">
        <f>M80+N80</f>
        <v>113.35536</v>
      </c>
    </row>
    <row r="81" spans="1:15" s="552" customFormat="1" ht="15" customHeight="1" x14ac:dyDescent="0.25">
      <c r="A81" s="543"/>
      <c r="B81" s="544" t="s">
        <v>658</v>
      </c>
      <c r="C81" s="513">
        <v>6111</v>
      </c>
      <c r="D81" s="545" t="s">
        <v>670</v>
      </c>
      <c r="E81" s="514" t="s">
        <v>42</v>
      </c>
      <c r="F81" s="546">
        <v>1</v>
      </c>
      <c r="G81" s="547">
        <v>8.92</v>
      </c>
      <c r="H81" s="548"/>
      <c r="I81" s="547">
        <f>F81*G81</f>
        <v>8.92</v>
      </c>
      <c r="J81" s="549"/>
      <c r="K81" s="548"/>
      <c r="L81" s="547"/>
      <c r="M81" s="549"/>
      <c r="N81" s="550"/>
      <c r="O81" s="551"/>
    </row>
    <row r="82" spans="1:15" s="167" customFormat="1" ht="11.25" x14ac:dyDescent="0.2">
      <c r="A82" s="170"/>
      <c r="B82" s="129"/>
      <c r="C82" s="29"/>
      <c r="D82" s="117"/>
      <c r="E82" s="30"/>
      <c r="F82" s="118"/>
      <c r="G82" s="31"/>
      <c r="H82" s="104"/>
      <c r="I82" s="27"/>
      <c r="J82" s="105"/>
      <c r="K82" s="104"/>
      <c r="L82" s="27"/>
      <c r="M82" s="105"/>
      <c r="N82" s="93"/>
      <c r="O82" s="206"/>
    </row>
    <row r="83" spans="1:15" s="23" customFormat="1" ht="22.5" x14ac:dyDescent="0.2">
      <c r="A83" s="223"/>
      <c r="B83" s="224" t="s">
        <v>231</v>
      </c>
      <c r="C83" s="225" t="s">
        <v>307</v>
      </c>
      <c r="D83" s="226" t="s">
        <v>293</v>
      </c>
      <c r="E83" s="225" t="s">
        <v>56</v>
      </c>
      <c r="F83" s="515">
        <f>'MEMÓRIA DE CÁLCULO'!D25</f>
        <v>10</v>
      </c>
      <c r="G83" s="228"/>
      <c r="H83" s="229">
        <f>ROUND(SUM(H84:H85),2)</f>
        <v>0</v>
      </c>
      <c r="I83" s="229">
        <f>ROUND(SUM(I84),2)</f>
        <v>8.92</v>
      </c>
      <c r="J83" s="231">
        <f>(H83+I83)</f>
        <v>8.92</v>
      </c>
      <c r="K83" s="229">
        <f>F83*H83</f>
        <v>0</v>
      </c>
      <c r="L83" s="230">
        <f>F83*I83</f>
        <v>89.2</v>
      </c>
      <c r="M83" s="231">
        <f>K83+L83</f>
        <v>89.2</v>
      </c>
      <c r="N83" s="227">
        <f>M83*$N$7</f>
        <v>24.155359999999998</v>
      </c>
      <c r="O83" s="227">
        <f>M83+N83</f>
        <v>113.35536</v>
      </c>
    </row>
    <row r="84" spans="1:15" s="552" customFormat="1" ht="15" customHeight="1" x14ac:dyDescent="0.25">
      <c r="A84" s="543"/>
      <c r="B84" s="544" t="s">
        <v>658</v>
      </c>
      <c r="C84" s="513">
        <v>6111</v>
      </c>
      <c r="D84" s="545" t="s">
        <v>670</v>
      </c>
      <c r="E84" s="514" t="s">
        <v>42</v>
      </c>
      <c r="F84" s="546">
        <v>1</v>
      </c>
      <c r="G84" s="547">
        <v>8.92</v>
      </c>
      <c r="H84" s="548"/>
      <c r="I84" s="547">
        <f>F84*G84</f>
        <v>8.92</v>
      </c>
      <c r="J84" s="549"/>
      <c r="K84" s="548"/>
      <c r="L84" s="547"/>
      <c r="M84" s="549"/>
      <c r="N84" s="550"/>
      <c r="O84" s="551"/>
    </row>
    <row r="85" spans="1:15" s="167" customFormat="1" ht="11.25" x14ac:dyDescent="0.2">
      <c r="A85" s="170"/>
      <c r="B85" s="129"/>
      <c r="C85" s="29"/>
      <c r="D85" s="117"/>
      <c r="E85" s="30"/>
      <c r="F85" s="118"/>
      <c r="G85" s="31"/>
      <c r="H85" s="104"/>
      <c r="I85" s="27"/>
      <c r="J85" s="105"/>
      <c r="K85" s="104"/>
      <c r="L85" s="27"/>
      <c r="M85" s="105"/>
      <c r="N85" s="93"/>
      <c r="O85" s="206"/>
    </row>
    <row r="86" spans="1:15" s="23" customFormat="1" ht="22.5" x14ac:dyDescent="0.2">
      <c r="A86" s="223"/>
      <c r="B86" s="224" t="s">
        <v>231</v>
      </c>
      <c r="C86" s="225" t="s">
        <v>308</v>
      </c>
      <c r="D86" s="226" t="s">
        <v>294</v>
      </c>
      <c r="E86" s="225" t="s">
        <v>58</v>
      </c>
      <c r="F86" s="515">
        <v>5</v>
      </c>
      <c r="G86" s="228"/>
      <c r="H86" s="229">
        <f>ROUND(SUM(H87:H88),2)</f>
        <v>0</v>
      </c>
      <c r="I86" s="229">
        <f>ROUND(SUM(I87),2)</f>
        <v>8.92</v>
      </c>
      <c r="J86" s="231">
        <f>(H86+I86)</f>
        <v>8.92</v>
      </c>
      <c r="K86" s="229">
        <f>F86*H86</f>
        <v>0</v>
      </c>
      <c r="L86" s="230">
        <f>F86*I86</f>
        <v>44.6</v>
      </c>
      <c r="M86" s="231">
        <f>K86+L86</f>
        <v>44.6</v>
      </c>
      <c r="N86" s="227">
        <f>M86*$N$7</f>
        <v>12.077679999999999</v>
      </c>
      <c r="O86" s="227">
        <f>M86+N86</f>
        <v>56.677680000000002</v>
      </c>
    </row>
    <row r="87" spans="1:15" s="552" customFormat="1" ht="15" customHeight="1" x14ac:dyDescent="0.25">
      <c r="A87" s="543"/>
      <c r="B87" s="544" t="s">
        <v>658</v>
      </c>
      <c r="C87" s="513">
        <v>6111</v>
      </c>
      <c r="D87" s="545" t="s">
        <v>670</v>
      </c>
      <c r="E87" s="514" t="s">
        <v>42</v>
      </c>
      <c r="F87" s="546">
        <v>1</v>
      </c>
      <c r="G87" s="547">
        <v>8.92</v>
      </c>
      <c r="H87" s="548"/>
      <c r="I87" s="547">
        <f>F87*G87</f>
        <v>8.92</v>
      </c>
      <c r="J87" s="549"/>
      <c r="K87" s="548"/>
      <c r="L87" s="547"/>
      <c r="M87" s="549"/>
      <c r="N87" s="550"/>
      <c r="O87" s="551"/>
    </row>
    <row r="88" spans="1:15" s="167" customFormat="1" ht="11.25" x14ac:dyDescent="0.2">
      <c r="A88" s="170"/>
      <c r="B88" s="129"/>
      <c r="C88" s="29"/>
      <c r="D88" s="117"/>
      <c r="E88" s="30"/>
      <c r="F88" s="118"/>
      <c r="G88" s="31"/>
      <c r="H88" s="104"/>
      <c r="I88" s="27"/>
      <c r="J88" s="105"/>
      <c r="K88" s="104"/>
      <c r="L88" s="27"/>
      <c r="M88" s="105"/>
      <c r="N88" s="93"/>
      <c r="O88" s="206"/>
    </row>
    <row r="89" spans="1:15" s="23" customFormat="1" ht="22.5" x14ac:dyDescent="0.2">
      <c r="A89" s="223" t="s">
        <v>78</v>
      </c>
      <c r="B89" s="224">
        <v>72215</v>
      </c>
      <c r="C89" s="225" t="s">
        <v>309</v>
      </c>
      <c r="D89" s="226" t="s">
        <v>295</v>
      </c>
      <c r="E89" s="225" t="s">
        <v>168</v>
      </c>
      <c r="F89" s="515">
        <f>'MEMÓRIA DE CÁLCULO'!D26</f>
        <v>3.9690000000000003</v>
      </c>
      <c r="G89" s="228"/>
      <c r="H89" s="229">
        <f>ROUND(SUM(H90:H91),2)</f>
        <v>0</v>
      </c>
      <c r="I89" s="229">
        <f>ROUND(SUM(I90),2)</f>
        <v>22.3</v>
      </c>
      <c r="J89" s="231">
        <f>(H89+I89)</f>
        <v>22.3</v>
      </c>
      <c r="K89" s="229">
        <f>F89*H89</f>
        <v>0</v>
      </c>
      <c r="L89" s="230">
        <f>F89*I89</f>
        <v>88.508700000000005</v>
      </c>
      <c r="M89" s="231">
        <f>K89+L89</f>
        <v>88.508700000000005</v>
      </c>
      <c r="N89" s="227">
        <f>M89*$N$7</f>
        <v>23.968155960000001</v>
      </c>
      <c r="O89" s="227">
        <f>M89+N89</f>
        <v>112.47685596000001</v>
      </c>
    </row>
    <row r="90" spans="1:15" s="552" customFormat="1" ht="15" customHeight="1" x14ac:dyDescent="0.25">
      <c r="A90" s="543"/>
      <c r="B90" s="544" t="s">
        <v>658</v>
      </c>
      <c r="C90" s="513">
        <v>6111</v>
      </c>
      <c r="D90" s="545" t="s">
        <v>670</v>
      </c>
      <c r="E90" s="514" t="s">
        <v>42</v>
      </c>
      <c r="F90" s="546">
        <v>2.5</v>
      </c>
      <c r="G90" s="547">
        <v>8.92</v>
      </c>
      <c r="H90" s="548"/>
      <c r="I90" s="547">
        <f>F90*G90</f>
        <v>22.3</v>
      </c>
      <c r="J90" s="549"/>
      <c r="K90" s="548"/>
      <c r="L90" s="547"/>
      <c r="M90" s="549"/>
      <c r="N90" s="550"/>
      <c r="O90" s="551"/>
    </row>
    <row r="91" spans="1:15" s="167" customFormat="1" ht="11.25" x14ac:dyDescent="0.2">
      <c r="A91" s="170"/>
      <c r="B91" s="129"/>
      <c r="C91" s="29"/>
      <c r="D91" s="117" t="s">
        <v>83</v>
      </c>
      <c r="E91" s="30"/>
      <c r="F91" s="118"/>
      <c r="G91" s="31"/>
      <c r="H91" s="104"/>
      <c r="I91" s="27"/>
      <c r="J91" s="105"/>
      <c r="K91" s="104"/>
      <c r="L91" s="27"/>
      <c r="M91" s="105"/>
      <c r="N91" s="92"/>
      <c r="O91" s="169"/>
    </row>
    <row r="92" spans="1:15" s="23" customFormat="1" ht="22.5" x14ac:dyDescent="0.2">
      <c r="A92" s="223" t="s">
        <v>79</v>
      </c>
      <c r="B92" s="224" t="s">
        <v>496</v>
      </c>
      <c r="C92" s="225" t="s">
        <v>530</v>
      </c>
      <c r="D92" s="226" t="s">
        <v>497</v>
      </c>
      <c r="E92" s="225" t="s">
        <v>81</v>
      </c>
      <c r="F92" s="515">
        <f>F311</f>
        <v>6</v>
      </c>
      <c r="G92" s="228"/>
      <c r="H92" s="229">
        <f>ROUND(SUM(H93:H93),2)</f>
        <v>0</v>
      </c>
      <c r="I92" s="230">
        <f>ROUND(SUM(I93:I93),2)</f>
        <v>72.25</v>
      </c>
      <c r="J92" s="231">
        <f>(H92+I92)</f>
        <v>72.25</v>
      </c>
      <c r="K92" s="229">
        <f>F92*H92</f>
        <v>0</v>
      </c>
      <c r="L92" s="230">
        <f>F92*I92</f>
        <v>433.5</v>
      </c>
      <c r="M92" s="231">
        <f>K92+L92</f>
        <v>433.5</v>
      </c>
      <c r="N92" s="227">
        <f>M92*$N$7</f>
        <v>117.39179999999999</v>
      </c>
      <c r="O92" s="227">
        <f>M92+N92</f>
        <v>550.89179999999999</v>
      </c>
    </row>
    <row r="93" spans="1:15" s="552" customFormat="1" ht="15" customHeight="1" x14ac:dyDescent="0.25">
      <c r="A93" s="543"/>
      <c r="B93" s="544"/>
      <c r="C93" s="513"/>
      <c r="D93" s="545" t="str">
        <f>D92</f>
        <v>Furo em concreto com coroas diamantadas, utilizando perfuratriz elétrica Ø 5" a 5 1/4" profundidade 40 cm</v>
      </c>
      <c r="E93" s="514" t="s">
        <v>81</v>
      </c>
      <c r="F93" s="546">
        <v>1</v>
      </c>
      <c r="G93" s="547">
        <v>72.25</v>
      </c>
      <c r="H93" s="548"/>
      <c r="I93" s="547">
        <f>F93*G93</f>
        <v>72.25</v>
      </c>
      <c r="J93" s="549"/>
      <c r="K93" s="548"/>
      <c r="L93" s="547"/>
      <c r="M93" s="549"/>
      <c r="N93" s="550"/>
      <c r="O93" s="551"/>
    </row>
    <row r="94" spans="1:15" s="167" customFormat="1" ht="11.25" x14ac:dyDescent="0.2">
      <c r="A94" s="170"/>
      <c r="B94" s="129"/>
      <c r="C94" s="29"/>
      <c r="D94" s="117" t="s">
        <v>83</v>
      </c>
      <c r="E94" s="30"/>
      <c r="F94" s="476"/>
      <c r="G94" s="477"/>
      <c r="H94" s="478"/>
      <c r="I94" s="479"/>
      <c r="J94" s="480"/>
      <c r="K94" s="478"/>
      <c r="L94" s="479"/>
      <c r="M94" s="480"/>
      <c r="N94" s="93"/>
      <c r="O94" s="206"/>
    </row>
    <row r="95" spans="1:15" s="23" customFormat="1" ht="22.5" x14ac:dyDescent="0.2">
      <c r="A95" s="223" t="s">
        <v>79</v>
      </c>
      <c r="B95" s="224" t="s">
        <v>498</v>
      </c>
      <c r="C95" s="225" t="s">
        <v>531</v>
      </c>
      <c r="D95" s="226" t="s">
        <v>499</v>
      </c>
      <c r="E95" s="225" t="s">
        <v>81</v>
      </c>
      <c r="F95" s="515">
        <f>F319</f>
        <v>7</v>
      </c>
      <c r="G95" s="228"/>
      <c r="H95" s="229">
        <f>ROUND(SUM(H96:H96),2)</f>
        <v>0</v>
      </c>
      <c r="I95" s="230">
        <f>ROUND(SUM(I96:I96),2)</f>
        <v>14.68</v>
      </c>
      <c r="J95" s="231">
        <f>(H95+I95)</f>
        <v>14.68</v>
      </c>
      <c r="K95" s="229">
        <f>F95*H95</f>
        <v>0</v>
      </c>
      <c r="L95" s="230">
        <f>F95*I95</f>
        <v>102.75999999999999</v>
      </c>
      <c r="M95" s="231">
        <f>K95+L95</f>
        <v>102.75999999999999</v>
      </c>
      <c r="N95" s="227">
        <f>M95*$N$7</f>
        <v>27.827407999999995</v>
      </c>
      <c r="O95" s="227">
        <f>M95+N95</f>
        <v>130.58740799999998</v>
      </c>
    </row>
    <row r="96" spans="1:15" s="552" customFormat="1" ht="15" customHeight="1" x14ac:dyDescent="0.25">
      <c r="A96" s="543"/>
      <c r="B96" s="544"/>
      <c r="C96" s="513"/>
      <c r="D96" s="545" t="str">
        <f>D95</f>
        <v>Furo em concreto com broca de widia, utilizando martele elétrico Ø 1 1/2" profundidade 15 cm</v>
      </c>
      <c r="E96" s="514" t="s">
        <v>81</v>
      </c>
      <c r="F96" s="546">
        <v>1</v>
      </c>
      <c r="G96" s="547">
        <v>14.68</v>
      </c>
      <c r="H96" s="548"/>
      <c r="I96" s="547">
        <f>F96*G96</f>
        <v>14.68</v>
      </c>
      <c r="J96" s="549"/>
      <c r="K96" s="548"/>
      <c r="L96" s="547"/>
      <c r="M96" s="549"/>
      <c r="N96" s="550"/>
      <c r="O96" s="551"/>
    </row>
    <row r="97" spans="1:15" s="167" customFormat="1" ht="11.25" x14ac:dyDescent="0.2">
      <c r="A97" s="170"/>
      <c r="B97" s="129"/>
      <c r="C97" s="29"/>
      <c r="D97" s="117" t="s">
        <v>83</v>
      </c>
      <c r="E97" s="30"/>
      <c r="F97" s="476"/>
      <c r="G97" s="477"/>
      <c r="H97" s="478"/>
      <c r="I97" s="479"/>
      <c r="J97" s="480"/>
      <c r="K97" s="478"/>
      <c r="L97" s="479"/>
      <c r="M97" s="480"/>
      <c r="N97" s="93"/>
      <c r="O97" s="206"/>
    </row>
    <row r="98" spans="1:15" s="23" customFormat="1" ht="22.5" x14ac:dyDescent="0.2">
      <c r="A98" s="223" t="s">
        <v>78</v>
      </c>
      <c r="B98" s="224">
        <v>73616</v>
      </c>
      <c r="C98" s="225" t="s">
        <v>532</v>
      </c>
      <c r="D98" s="226" t="s">
        <v>500</v>
      </c>
      <c r="E98" s="225" t="s">
        <v>168</v>
      </c>
      <c r="F98" s="515">
        <f>0.5*0.5</f>
        <v>0.25</v>
      </c>
      <c r="G98" s="228"/>
      <c r="H98" s="229">
        <f>ROUND(SUM(H99:H100),2)</f>
        <v>0</v>
      </c>
      <c r="I98" s="229">
        <f>ROUND(SUM(I99:I100),2)</f>
        <v>132.30000000000001</v>
      </c>
      <c r="J98" s="231">
        <f>(H98+I98)</f>
        <v>132.30000000000001</v>
      </c>
      <c r="K98" s="229">
        <f>F98*H98</f>
        <v>0</v>
      </c>
      <c r="L98" s="230">
        <f>F98*I98</f>
        <v>33.075000000000003</v>
      </c>
      <c r="M98" s="231">
        <f>K98+L98</f>
        <v>33.075000000000003</v>
      </c>
      <c r="N98" s="227">
        <f>M98*$N$7</f>
        <v>8.9567100000000011</v>
      </c>
      <c r="O98" s="227">
        <f>M98+N98</f>
        <v>42.031710000000004</v>
      </c>
    </row>
    <row r="99" spans="1:15" s="552" customFormat="1" ht="15" customHeight="1" x14ac:dyDescent="0.25">
      <c r="A99" s="543"/>
      <c r="B99" s="544" t="s">
        <v>658</v>
      </c>
      <c r="C99" s="513">
        <v>4750</v>
      </c>
      <c r="D99" s="545" t="s">
        <v>679</v>
      </c>
      <c r="E99" s="514" t="s">
        <v>42</v>
      </c>
      <c r="F99" s="546">
        <v>1.3</v>
      </c>
      <c r="G99" s="547">
        <v>12.57</v>
      </c>
      <c r="H99" s="548"/>
      <c r="I99" s="547">
        <f>F99*G99</f>
        <v>16.341000000000001</v>
      </c>
      <c r="J99" s="549"/>
      <c r="K99" s="548"/>
      <c r="L99" s="547"/>
      <c r="M99" s="549"/>
      <c r="N99" s="550"/>
      <c r="O99" s="551"/>
    </row>
    <row r="100" spans="1:15" s="552" customFormat="1" ht="15" customHeight="1" x14ac:dyDescent="0.25">
      <c r="A100" s="543"/>
      <c r="B100" s="544" t="s">
        <v>658</v>
      </c>
      <c r="C100" s="513">
        <v>6111</v>
      </c>
      <c r="D100" s="545" t="s">
        <v>670</v>
      </c>
      <c r="E100" s="514" t="s">
        <v>42</v>
      </c>
      <c r="F100" s="546">
        <v>13</v>
      </c>
      <c r="G100" s="547">
        <v>8.92</v>
      </c>
      <c r="H100" s="548"/>
      <c r="I100" s="547">
        <f>F100*G100</f>
        <v>115.96</v>
      </c>
      <c r="J100" s="549"/>
      <c r="K100" s="548"/>
      <c r="L100" s="547"/>
      <c r="M100" s="549"/>
      <c r="N100" s="550"/>
      <c r="O100" s="551"/>
    </row>
    <row r="101" spans="1:15" s="167" customFormat="1" ht="11.25" x14ac:dyDescent="0.2">
      <c r="A101" s="170"/>
      <c r="B101" s="129"/>
      <c r="C101" s="29"/>
      <c r="D101" s="117" t="s">
        <v>83</v>
      </c>
      <c r="E101" s="30"/>
      <c r="F101" s="476"/>
      <c r="G101" s="477"/>
      <c r="H101" s="478"/>
      <c r="I101" s="479"/>
      <c r="J101" s="480"/>
      <c r="K101" s="478"/>
      <c r="L101" s="479"/>
      <c r="M101" s="480"/>
      <c r="N101" s="92"/>
      <c r="O101" s="169"/>
    </row>
    <row r="102" spans="1:15" s="266" customFormat="1" ht="12.75" x14ac:dyDescent="0.2">
      <c r="A102" s="516"/>
      <c r="B102" s="517"/>
      <c r="C102" s="518" t="s">
        <v>178</v>
      </c>
      <c r="D102" s="519" t="s">
        <v>100</v>
      </c>
      <c r="E102" s="520"/>
      <c r="F102" s="519"/>
      <c r="G102" s="520"/>
      <c r="H102" s="521"/>
      <c r="I102" s="522"/>
      <c r="J102" s="523"/>
      <c r="K102" s="521"/>
      <c r="L102" s="522"/>
      <c r="M102" s="523"/>
      <c r="N102" s="524"/>
      <c r="O102" s="525">
        <f>SUM(O104:O136)</f>
        <v>727.15137876000006</v>
      </c>
    </row>
    <row r="103" spans="1:15" s="23" customFormat="1" ht="14.25" x14ac:dyDescent="0.2">
      <c r="A103" s="134"/>
      <c r="B103" s="129"/>
      <c r="C103" s="29"/>
      <c r="D103" s="117" t="s">
        <v>83</v>
      </c>
      <c r="E103" s="30"/>
      <c r="F103" s="118"/>
      <c r="G103" s="31"/>
      <c r="H103" s="104"/>
      <c r="I103" s="27"/>
      <c r="J103" s="105"/>
      <c r="K103" s="104"/>
      <c r="L103" s="27"/>
      <c r="M103" s="105"/>
      <c r="N103" s="92"/>
      <c r="O103" s="92"/>
    </row>
    <row r="104" spans="1:15" s="23" customFormat="1" ht="14.25" x14ac:dyDescent="0.2">
      <c r="A104" s="135"/>
      <c r="B104" s="120"/>
      <c r="C104" s="122"/>
      <c r="D104" s="124" t="s">
        <v>172</v>
      </c>
      <c r="E104" s="122"/>
      <c r="F104" s="90"/>
      <c r="G104" s="116"/>
      <c r="H104" s="102"/>
      <c r="I104" s="35"/>
      <c r="J104" s="103"/>
      <c r="K104" s="102"/>
      <c r="L104" s="35"/>
      <c r="M104" s="103"/>
      <c r="N104" s="90"/>
      <c r="O104" s="90"/>
    </row>
    <row r="105" spans="1:15" s="23" customFormat="1" ht="14.25" x14ac:dyDescent="0.2">
      <c r="A105" s="134"/>
      <c r="B105" s="129"/>
      <c r="C105" s="29"/>
      <c r="D105" s="117" t="s">
        <v>83</v>
      </c>
      <c r="E105" s="30"/>
      <c r="F105" s="118"/>
      <c r="G105" s="31"/>
      <c r="H105" s="104"/>
      <c r="I105" s="27"/>
      <c r="J105" s="105"/>
      <c r="K105" s="104"/>
      <c r="L105" s="27"/>
      <c r="M105" s="105"/>
      <c r="N105" s="92"/>
      <c r="O105" s="92"/>
    </row>
    <row r="106" spans="1:15" s="23" customFormat="1" ht="33.75" x14ac:dyDescent="0.2">
      <c r="A106" s="223" t="s">
        <v>78</v>
      </c>
      <c r="B106" s="224">
        <v>84215</v>
      </c>
      <c r="C106" s="225" t="s">
        <v>312</v>
      </c>
      <c r="D106" s="226" t="s">
        <v>753</v>
      </c>
      <c r="E106" s="225" t="s">
        <v>94</v>
      </c>
      <c r="F106" s="515">
        <f>'MEMÓRIA DE CÁLCULO'!I72</f>
        <v>7.6700000000000017</v>
      </c>
      <c r="G106" s="228"/>
      <c r="H106" s="229">
        <f>ROUND(SUM(H107:H114),2)</f>
        <v>13.68</v>
      </c>
      <c r="I106" s="229">
        <f>ROUND(SUM(I107:I114),2)</f>
        <v>13.61</v>
      </c>
      <c r="J106" s="231">
        <f>(H106+I106)</f>
        <v>27.29</v>
      </c>
      <c r="K106" s="229">
        <f>F106*H106</f>
        <v>104.92560000000002</v>
      </c>
      <c r="L106" s="230">
        <f>F106*I106</f>
        <v>104.38870000000001</v>
      </c>
      <c r="M106" s="231">
        <f>K106+L106</f>
        <v>209.31430000000003</v>
      </c>
      <c r="N106" s="227">
        <f>M106*$N$7</f>
        <v>56.682312440000004</v>
      </c>
      <c r="O106" s="227">
        <f>M106+N106</f>
        <v>265.99661244000004</v>
      </c>
    </row>
    <row r="107" spans="1:15" s="552" customFormat="1" ht="15" customHeight="1" x14ac:dyDescent="0.25">
      <c r="A107" s="543"/>
      <c r="B107" s="544" t="s">
        <v>658</v>
      </c>
      <c r="C107" s="513">
        <v>6117</v>
      </c>
      <c r="D107" s="545" t="s">
        <v>682</v>
      </c>
      <c r="E107" s="514" t="s">
        <v>42</v>
      </c>
      <c r="F107" s="546">
        <v>0.23</v>
      </c>
      <c r="G107" s="547">
        <v>9.4499999999999993</v>
      </c>
      <c r="H107" s="548"/>
      <c r="I107" s="547">
        <f>F107*G107</f>
        <v>2.1734999999999998</v>
      </c>
      <c r="J107" s="549"/>
      <c r="K107" s="548"/>
      <c r="L107" s="547"/>
      <c r="M107" s="549"/>
      <c r="N107" s="550"/>
      <c r="O107" s="551"/>
    </row>
    <row r="108" spans="1:15" s="552" customFormat="1" ht="15" customHeight="1" x14ac:dyDescent="0.25">
      <c r="A108" s="543"/>
      <c r="B108" s="544" t="s">
        <v>658</v>
      </c>
      <c r="C108" s="513">
        <v>1213</v>
      </c>
      <c r="D108" s="545" t="s">
        <v>676</v>
      </c>
      <c r="E108" s="514" t="s">
        <v>42</v>
      </c>
      <c r="F108" s="546">
        <v>0.91</v>
      </c>
      <c r="G108" s="547">
        <v>12.57</v>
      </c>
      <c r="H108" s="548"/>
      <c r="I108" s="547">
        <f>F108*G108</f>
        <v>11.438700000000001</v>
      </c>
      <c r="J108" s="549"/>
      <c r="K108" s="548"/>
      <c r="L108" s="547"/>
      <c r="M108" s="549"/>
      <c r="N108" s="550"/>
      <c r="O108" s="551"/>
    </row>
    <row r="109" spans="1:15" s="552" customFormat="1" ht="15" customHeight="1" x14ac:dyDescent="0.25">
      <c r="A109" s="543"/>
      <c r="B109" s="544" t="s">
        <v>658</v>
      </c>
      <c r="C109" s="513">
        <v>1357</v>
      </c>
      <c r="D109" s="545" t="s">
        <v>683</v>
      </c>
      <c r="E109" s="514" t="s">
        <v>684</v>
      </c>
      <c r="F109" s="546">
        <v>0.17419999999999999</v>
      </c>
      <c r="G109" s="547">
        <v>28.54</v>
      </c>
      <c r="H109" s="548">
        <f t="shared" ref="H109:H110" si="1">F109*G109</f>
        <v>4.9716679999999993</v>
      </c>
      <c r="I109" s="547"/>
      <c r="J109" s="549"/>
      <c r="K109" s="548"/>
      <c r="L109" s="547"/>
      <c r="M109" s="549"/>
      <c r="N109" s="550"/>
      <c r="O109" s="551"/>
    </row>
    <row r="110" spans="1:15" s="552" customFormat="1" ht="15" customHeight="1" x14ac:dyDescent="0.25">
      <c r="A110" s="543"/>
      <c r="B110" s="544" t="s">
        <v>658</v>
      </c>
      <c r="C110" s="513">
        <v>2692</v>
      </c>
      <c r="D110" s="545" t="s">
        <v>685</v>
      </c>
      <c r="E110" s="514" t="s">
        <v>686</v>
      </c>
      <c r="F110" s="546">
        <v>6.0000000000000001E-3</v>
      </c>
      <c r="G110" s="547">
        <v>9.82</v>
      </c>
      <c r="H110" s="548">
        <f t="shared" si="1"/>
        <v>5.892E-2</v>
      </c>
      <c r="I110" s="547"/>
      <c r="J110" s="549"/>
      <c r="K110" s="548"/>
      <c r="L110" s="547"/>
      <c r="M110" s="549"/>
      <c r="N110" s="550"/>
      <c r="O110" s="551"/>
    </row>
    <row r="111" spans="1:15" s="552" customFormat="1" ht="15" customHeight="1" x14ac:dyDescent="0.25">
      <c r="A111" s="543"/>
      <c r="B111" s="544" t="s">
        <v>658</v>
      </c>
      <c r="C111" s="513">
        <v>4491</v>
      </c>
      <c r="D111" s="545" t="s">
        <v>659</v>
      </c>
      <c r="E111" s="514" t="s">
        <v>98</v>
      </c>
      <c r="F111" s="546">
        <v>1.04</v>
      </c>
      <c r="G111" s="547">
        <v>3.25</v>
      </c>
      <c r="H111" s="548">
        <f>F111*G111</f>
        <v>3.38</v>
      </c>
      <c r="I111" s="547"/>
      <c r="J111" s="549"/>
      <c r="K111" s="548"/>
      <c r="L111" s="547"/>
      <c r="M111" s="549"/>
      <c r="N111" s="550"/>
      <c r="O111" s="551"/>
    </row>
    <row r="112" spans="1:15" s="552" customFormat="1" ht="15" customHeight="1" x14ac:dyDescent="0.25">
      <c r="A112" s="543"/>
      <c r="B112" s="544" t="s">
        <v>657</v>
      </c>
      <c r="C112" s="513">
        <v>4506</v>
      </c>
      <c r="D112" s="545" t="s">
        <v>687</v>
      </c>
      <c r="E112" s="514" t="s">
        <v>98</v>
      </c>
      <c r="F112" s="546">
        <v>0.55000000000000004</v>
      </c>
      <c r="G112" s="547">
        <v>2.0099999999999998</v>
      </c>
      <c r="H112" s="548">
        <f>F112*G112</f>
        <v>1.1054999999999999</v>
      </c>
      <c r="I112" s="547"/>
      <c r="J112" s="549"/>
      <c r="K112" s="548"/>
      <c r="L112" s="547"/>
      <c r="M112" s="549"/>
      <c r="N112" s="550"/>
      <c r="O112" s="551"/>
    </row>
    <row r="113" spans="1:15" s="552" customFormat="1" ht="15" customHeight="1" x14ac:dyDescent="0.25">
      <c r="A113" s="543"/>
      <c r="B113" s="544" t="s">
        <v>658</v>
      </c>
      <c r="C113" s="513">
        <v>5068</v>
      </c>
      <c r="D113" s="545" t="s">
        <v>688</v>
      </c>
      <c r="E113" s="514" t="s">
        <v>97</v>
      </c>
      <c r="F113" s="546">
        <v>0.27</v>
      </c>
      <c r="G113" s="547">
        <v>6.99</v>
      </c>
      <c r="H113" s="548">
        <f>F113*G113</f>
        <v>1.8873000000000002</v>
      </c>
      <c r="I113" s="547"/>
      <c r="J113" s="549"/>
      <c r="K113" s="548"/>
      <c r="L113" s="547"/>
      <c r="M113" s="549"/>
      <c r="N113" s="550"/>
      <c r="O113" s="551"/>
    </row>
    <row r="114" spans="1:15" s="552" customFormat="1" ht="15" customHeight="1" x14ac:dyDescent="0.25">
      <c r="A114" s="543"/>
      <c r="B114" s="544" t="s">
        <v>658</v>
      </c>
      <c r="C114" s="513">
        <v>6189</v>
      </c>
      <c r="D114" s="545" t="s">
        <v>689</v>
      </c>
      <c r="E114" s="514" t="s">
        <v>98</v>
      </c>
      <c r="F114" s="546">
        <v>0.31</v>
      </c>
      <c r="G114" s="547">
        <v>7.33</v>
      </c>
      <c r="H114" s="548">
        <f>F114*G114</f>
        <v>2.2723</v>
      </c>
      <c r="I114" s="547"/>
      <c r="J114" s="549"/>
      <c r="K114" s="548"/>
      <c r="L114" s="547"/>
      <c r="M114" s="549"/>
      <c r="N114" s="550"/>
      <c r="O114" s="551"/>
    </row>
    <row r="115" spans="1:15" s="189" customFormat="1" ht="11.25" x14ac:dyDescent="0.25">
      <c r="A115" s="173"/>
      <c r="C115" s="175"/>
      <c r="D115" s="176"/>
      <c r="E115" s="177"/>
      <c r="F115" s="190"/>
      <c r="G115" s="192"/>
      <c r="H115" s="193"/>
      <c r="I115" s="182"/>
      <c r="J115" s="183"/>
      <c r="K115" s="184"/>
      <c r="L115" s="185"/>
      <c r="M115" s="186"/>
      <c r="N115" s="187"/>
      <c r="O115" s="188"/>
    </row>
    <row r="116" spans="1:15" s="23" customFormat="1" ht="14.25" x14ac:dyDescent="0.2">
      <c r="A116" s="223" t="s">
        <v>78</v>
      </c>
      <c r="B116" s="224" t="s">
        <v>690</v>
      </c>
      <c r="C116" s="225" t="s">
        <v>313</v>
      </c>
      <c r="D116" s="226" t="s">
        <v>754</v>
      </c>
      <c r="E116" s="225" t="s">
        <v>95</v>
      </c>
      <c r="F116" s="515">
        <f>'MEMÓRIA DE CÁLCULO'!H72</f>
        <v>0.4425</v>
      </c>
      <c r="G116" s="228"/>
      <c r="H116" s="229">
        <f>ROUND(SUM(H117:H124),2)</f>
        <v>266.02</v>
      </c>
      <c r="I116" s="229">
        <f>ROUND(SUM(I117:I124),2)</f>
        <v>46.21</v>
      </c>
      <c r="J116" s="231">
        <f>(H116+I116)</f>
        <v>312.22999999999996</v>
      </c>
      <c r="K116" s="229">
        <f>F116*H116</f>
        <v>117.71384999999999</v>
      </c>
      <c r="L116" s="230">
        <f>F116*I116</f>
        <v>20.447925000000001</v>
      </c>
      <c r="M116" s="231">
        <f>K116+L116</f>
        <v>138.16177500000001</v>
      </c>
      <c r="N116" s="227">
        <f>M116*$N$7</f>
        <v>37.414208670000001</v>
      </c>
      <c r="O116" s="227">
        <f>M116+N116</f>
        <v>175.57598367</v>
      </c>
    </row>
    <row r="117" spans="1:15" s="552" customFormat="1" ht="15" customHeight="1" x14ac:dyDescent="0.25">
      <c r="A117" s="543"/>
      <c r="B117" s="544" t="s">
        <v>664</v>
      </c>
      <c r="C117" s="513">
        <v>88291</v>
      </c>
      <c r="D117" s="545" t="s">
        <v>691</v>
      </c>
      <c r="E117" s="514" t="s">
        <v>42</v>
      </c>
      <c r="F117" s="546">
        <v>1.8335999999999999</v>
      </c>
      <c r="G117" s="547">
        <v>9.4499999999999993</v>
      </c>
      <c r="H117" s="548"/>
      <c r="I117" s="547">
        <f>F117*G117</f>
        <v>17.327519999999996</v>
      </c>
      <c r="J117" s="549"/>
      <c r="K117" s="548"/>
      <c r="L117" s="547"/>
      <c r="M117" s="549"/>
      <c r="N117" s="550"/>
      <c r="O117" s="551"/>
    </row>
    <row r="118" spans="1:15" s="552" customFormat="1" ht="15" customHeight="1" x14ac:dyDescent="0.25">
      <c r="A118" s="543"/>
      <c r="B118" s="544" t="s">
        <v>658</v>
      </c>
      <c r="C118" s="513">
        <v>6111</v>
      </c>
      <c r="D118" s="545" t="s">
        <v>670</v>
      </c>
      <c r="E118" s="514" t="s">
        <v>42</v>
      </c>
      <c r="F118" s="546">
        <v>3.2378</v>
      </c>
      <c r="G118" s="547">
        <v>8.92</v>
      </c>
      <c r="H118" s="548"/>
      <c r="I118" s="547">
        <f>F118*G118</f>
        <v>28.881176</v>
      </c>
      <c r="J118" s="549"/>
      <c r="K118" s="548"/>
      <c r="L118" s="547"/>
      <c r="M118" s="549"/>
      <c r="N118" s="550"/>
      <c r="O118" s="551"/>
    </row>
    <row r="119" spans="1:15" s="552" customFormat="1" ht="15" customHeight="1" x14ac:dyDescent="0.25">
      <c r="A119" s="543"/>
      <c r="B119" s="544" t="s">
        <v>657</v>
      </c>
      <c r="C119" s="513">
        <v>370</v>
      </c>
      <c r="D119" s="545" t="s">
        <v>692</v>
      </c>
      <c r="E119" s="514" t="s">
        <v>95</v>
      </c>
      <c r="F119" s="546">
        <v>0.8669</v>
      </c>
      <c r="G119" s="547">
        <v>56.58</v>
      </c>
      <c r="H119" s="548">
        <f t="shared" ref="H119:H120" si="2">F119*G119</f>
        <v>49.049202000000001</v>
      </c>
      <c r="I119" s="547"/>
      <c r="J119" s="549"/>
      <c r="K119" s="548"/>
      <c r="L119" s="547"/>
      <c r="M119" s="549"/>
      <c r="N119" s="550"/>
      <c r="O119" s="551"/>
    </row>
    <row r="120" spans="1:15" s="552" customFormat="1" ht="15" customHeight="1" x14ac:dyDescent="0.25">
      <c r="A120" s="543"/>
      <c r="B120" s="544" t="s">
        <v>658</v>
      </c>
      <c r="C120" s="513">
        <v>1379</v>
      </c>
      <c r="D120" s="545" t="s">
        <v>693</v>
      </c>
      <c r="E120" s="514" t="s">
        <v>694</v>
      </c>
      <c r="F120" s="546">
        <v>349</v>
      </c>
      <c r="G120" s="547">
        <v>0.5</v>
      </c>
      <c r="H120" s="548">
        <f t="shared" si="2"/>
        <v>174.5</v>
      </c>
      <c r="I120" s="547"/>
      <c r="J120" s="549"/>
      <c r="K120" s="548"/>
      <c r="L120" s="547"/>
      <c r="M120" s="549"/>
      <c r="N120" s="550"/>
      <c r="O120" s="551"/>
    </row>
    <row r="121" spans="1:15" s="552" customFormat="1" ht="15" customHeight="1" x14ac:dyDescent="0.25">
      <c r="A121" s="543"/>
      <c r="B121" s="544" t="s">
        <v>657</v>
      </c>
      <c r="C121" s="513">
        <v>4718</v>
      </c>
      <c r="D121" s="545" t="s">
        <v>695</v>
      </c>
      <c r="E121" s="514" t="s">
        <v>696</v>
      </c>
      <c r="F121" s="546">
        <v>0.20899999999999999</v>
      </c>
      <c r="G121" s="547">
        <v>42.13</v>
      </c>
      <c r="H121" s="548">
        <f>F121*G121</f>
        <v>8.8051700000000004</v>
      </c>
      <c r="I121" s="547"/>
      <c r="J121" s="549"/>
      <c r="K121" s="548"/>
      <c r="L121" s="547"/>
      <c r="M121" s="549"/>
      <c r="N121" s="550"/>
      <c r="O121" s="551"/>
    </row>
    <row r="122" spans="1:15" s="552" customFormat="1" ht="15" customHeight="1" x14ac:dyDescent="0.25">
      <c r="A122" s="543"/>
      <c r="B122" s="544" t="s">
        <v>658</v>
      </c>
      <c r="C122" s="513">
        <v>4721</v>
      </c>
      <c r="D122" s="545" t="s">
        <v>697</v>
      </c>
      <c r="E122" s="514" t="s">
        <v>95</v>
      </c>
      <c r="F122" s="546">
        <v>0.627</v>
      </c>
      <c r="G122" s="547">
        <v>46.94</v>
      </c>
      <c r="H122" s="548">
        <f>F122*G122</f>
        <v>29.431379999999997</v>
      </c>
      <c r="I122" s="547"/>
      <c r="J122" s="549"/>
      <c r="K122" s="548"/>
      <c r="L122" s="547"/>
      <c r="M122" s="549"/>
      <c r="N122" s="550"/>
      <c r="O122" s="551"/>
    </row>
    <row r="123" spans="1:15" s="552" customFormat="1" ht="15" customHeight="1" x14ac:dyDescent="0.25">
      <c r="A123" s="543"/>
      <c r="B123" s="544" t="s">
        <v>657</v>
      </c>
      <c r="C123" s="513">
        <v>10533</v>
      </c>
      <c r="D123" s="545" t="s">
        <v>698</v>
      </c>
      <c r="E123" s="514" t="s">
        <v>667</v>
      </c>
      <c r="F123" s="546">
        <v>1.8335999999999999</v>
      </c>
      <c r="G123" s="547">
        <v>2.31</v>
      </c>
      <c r="H123" s="548">
        <f>F123*G123</f>
        <v>4.2356160000000003</v>
      </c>
      <c r="I123" s="547"/>
      <c r="J123" s="549"/>
      <c r="K123" s="548"/>
      <c r="L123" s="547"/>
      <c r="M123" s="549"/>
      <c r="N123" s="550"/>
      <c r="O123" s="551"/>
    </row>
    <row r="124" spans="1:15" s="23" customFormat="1" ht="14.25" x14ac:dyDescent="0.2">
      <c r="A124" s="134"/>
      <c r="B124" s="129"/>
      <c r="C124" s="29"/>
      <c r="D124" s="117" t="s">
        <v>83</v>
      </c>
      <c r="E124" s="30"/>
      <c r="F124" s="118"/>
      <c r="G124" s="31"/>
      <c r="H124" s="104"/>
      <c r="I124" s="27"/>
      <c r="J124" s="105"/>
      <c r="K124" s="104"/>
      <c r="L124" s="27"/>
      <c r="M124" s="105"/>
      <c r="N124" s="92"/>
      <c r="O124" s="92"/>
    </row>
    <row r="125" spans="1:15" s="23" customFormat="1" ht="14.25" x14ac:dyDescent="0.2">
      <c r="A125" s="223" t="s">
        <v>78</v>
      </c>
      <c r="B125" s="224" t="s">
        <v>699</v>
      </c>
      <c r="C125" s="225" t="s">
        <v>314</v>
      </c>
      <c r="D125" s="226" t="s">
        <v>755</v>
      </c>
      <c r="E125" s="225" t="s">
        <v>95</v>
      </c>
      <c r="F125" s="515">
        <f>F116</f>
        <v>0.4425</v>
      </c>
      <c r="G125" s="228"/>
      <c r="H125" s="229">
        <f>ROUND(SUM(H126:H128),2)</f>
        <v>0.33</v>
      </c>
      <c r="I125" s="229">
        <f>ROUND(SUM(I126:I128),2)</f>
        <v>60.88</v>
      </c>
      <c r="J125" s="231">
        <f>(H125+I125)</f>
        <v>61.21</v>
      </c>
      <c r="K125" s="229">
        <f>F125*H125</f>
        <v>0.14602500000000002</v>
      </c>
      <c r="L125" s="230">
        <f>F125*I125</f>
        <v>26.939400000000003</v>
      </c>
      <c r="M125" s="231">
        <f>K125+L125</f>
        <v>27.085425000000004</v>
      </c>
      <c r="N125" s="227">
        <f>M125*$N$7</f>
        <v>7.3347330900000012</v>
      </c>
      <c r="O125" s="227">
        <f>M125+N125</f>
        <v>34.420158090000008</v>
      </c>
    </row>
    <row r="126" spans="1:15" s="552" customFormat="1" ht="15" customHeight="1" x14ac:dyDescent="0.25">
      <c r="A126" s="543"/>
      <c r="B126" s="544" t="s">
        <v>658</v>
      </c>
      <c r="C126" s="513">
        <v>4750</v>
      </c>
      <c r="D126" s="545" t="s">
        <v>679</v>
      </c>
      <c r="E126" s="514" t="s">
        <v>42</v>
      </c>
      <c r="F126" s="546">
        <v>1.65</v>
      </c>
      <c r="G126" s="547">
        <v>12.57</v>
      </c>
      <c r="H126" s="548"/>
      <c r="I126" s="547">
        <f>F126*G126</f>
        <v>20.740500000000001</v>
      </c>
      <c r="J126" s="549"/>
      <c r="K126" s="548"/>
      <c r="L126" s="547"/>
      <c r="M126" s="549"/>
      <c r="N126" s="550"/>
      <c r="O126" s="551"/>
    </row>
    <row r="127" spans="1:15" s="552" customFormat="1" ht="15" customHeight="1" x14ac:dyDescent="0.25">
      <c r="A127" s="543"/>
      <c r="B127" s="544" t="s">
        <v>658</v>
      </c>
      <c r="C127" s="513">
        <v>6111</v>
      </c>
      <c r="D127" s="545" t="s">
        <v>670</v>
      </c>
      <c r="E127" s="514" t="s">
        <v>42</v>
      </c>
      <c r="F127" s="546">
        <v>4.5</v>
      </c>
      <c r="G127" s="547">
        <v>8.92</v>
      </c>
      <c r="H127" s="548"/>
      <c r="I127" s="547">
        <f>F127*G127</f>
        <v>40.14</v>
      </c>
      <c r="J127" s="549"/>
      <c r="K127" s="548"/>
      <c r="L127" s="547"/>
      <c r="M127" s="549"/>
      <c r="N127" s="550"/>
      <c r="O127" s="551"/>
    </row>
    <row r="128" spans="1:15" s="552" customFormat="1" ht="15" customHeight="1" x14ac:dyDescent="0.25">
      <c r="A128" s="543"/>
      <c r="B128" s="544" t="s">
        <v>658</v>
      </c>
      <c r="C128" s="513">
        <v>10485</v>
      </c>
      <c r="D128" s="545" t="s">
        <v>700</v>
      </c>
      <c r="E128" s="514" t="s">
        <v>91</v>
      </c>
      <c r="F128" s="546">
        <v>0.3</v>
      </c>
      <c r="G128" s="547">
        <v>1.0900000000000001</v>
      </c>
      <c r="H128" s="548">
        <f t="shared" ref="H128" si="3">F128*G128</f>
        <v>0.32700000000000001</v>
      </c>
      <c r="I128" s="547"/>
      <c r="J128" s="549"/>
      <c r="K128" s="548"/>
      <c r="L128" s="547"/>
      <c r="M128" s="549"/>
      <c r="N128" s="550"/>
      <c r="O128" s="551"/>
    </row>
    <row r="129" spans="1:15" s="23" customFormat="1" ht="14.25" x14ac:dyDescent="0.2">
      <c r="A129" s="134"/>
      <c r="B129" s="129"/>
      <c r="C129" s="29"/>
      <c r="D129" s="117" t="s">
        <v>83</v>
      </c>
      <c r="E129" s="30"/>
      <c r="F129" s="118"/>
      <c r="G129" s="31"/>
      <c r="H129" s="104"/>
      <c r="I129" s="27"/>
      <c r="J129" s="105"/>
      <c r="K129" s="104"/>
      <c r="L129" s="27"/>
      <c r="M129" s="105"/>
      <c r="N129" s="92"/>
      <c r="O129" s="92"/>
    </row>
    <row r="130" spans="1:15" s="23" customFormat="1" ht="14.25" x14ac:dyDescent="0.2">
      <c r="A130" s="223" t="s">
        <v>78</v>
      </c>
      <c r="B130" s="224" t="s">
        <v>701</v>
      </c>
      <c r="C130" s="225" t="s">
        <v>792</v>
      </c>
      <c r="D130" s="226" t="s">
        <v>756</v>
      </c>
      <c r="E130" s="225" t="s">
        <v>233</v>
      </c>
      <c r="F130" s="515">
        <f>F125</f>
        <v>0.4425</v>
      </c>
      <c r="G130" s="228"/>
      <c r="H130" s="229">
        <f>ROUND(SUM(H131:H135),2)</f>
        <v>296.20999999999998</v>
      </c>
      <c r="I130" s="229">
        <f>ROUND(SUM(I131:I135),2)</f>
        <v>150.43</v>
      </c>
      <c r="J130" s="231">
        <f>(H130+I130)</f>
        <v>446.64</v>
      </c>
      <c r="K130" s="229">
        <f>F130*H130</f>
        <v>131.072925</v>
      </c>
      <c r="L130" s="230">
        <f>F130*I130</f>
        <v>66.565275</v>
      </c>
      <c r="M130" s="231">
        <f>K130+L130</f>
        <v>197.63819999999998</v>
      </c>
      <c r="N130" s="227">
        <f>M130*$N$7</f>
        <v>53.520424559999995</v>
      </c>
      <c r="O130" s="227">
        <f>M130+N130</f>
        <v>251.15862455999996</v>
      </c>
    </row>
    <row r="131" spans="1:15" s="552" customFormat="1" ht="15" customHeight="1" x14ac:dyDescent="0.25">
      <c r="A131" s="543"/>
      <c r="B131" s="544" t="s">
        <v>658</v>
      </c>
      <c r="C131" s="513">
        <v>378</v>
      </c>
      <c r="D131" s="545" t="s">
        <v>702</v>
      </c>
      <c r="E131" s="514" t="s">
        <v>42</v>
      </c>
      <c r="F131" s="546">
        <v>7</v>
      </c>
      <c r="G131" s="547">
        <v>12.57</v>
      </c>
      <c r="H131" s="548"/>
      <c r="I131" s="547">
        <f>F131*G131</f>
        <v>87.990000000000009</v>
      </c>
      <c r="J131" s="549"/>
      <c r="K131" s="548"/>
      <c r="L131" s="547"/>
      <c r="M131" s="549"/>
      <c r="N131" s="550"/>
      <c r="O131" s="551"/>
    </row>
    <row r="132" spans="1:15" s="552" customFormat="1" ht="15" customHeight="1" x14ac:dyDescent="0.25">
      <c r="A132" s="543"/>
      <c r="B132" s="544" t="s">
        <v>658</v>
      </c>
      <c r="C132" s="513">
        <v>6111</v>
      </c>
      <c r="D132" s="545" t="s">
        <v>670</v>
      </c>
      <c r="E132" s="514" t="s">
        <v>42</v>
      </c>
      <c r="F132" s="546">
        <v>7</v>
      </c>
      <c r="G132" s="547">
        <v>8.92</v>
      </c>
      <c r="H132" s="548"/>
      <c r="I132" s="547">
        <f>F132*G132</f>
        <v>62.44</v>
      </c>
      <c r="J132" s="549"/>
      <c r="K132" s="548"/>
      <c r="L132" s="547"/>
      <c r="M132" s="549"/>
      <c r="N132" s="550"/>
      <c r="O132" s="551"/>
    </row>
    <row r="133" spans="1:15" s="552" customFormat="1" ht="15" customHeight="1" x14ac:dyDescent="0.25">
      <c r="A133" s="543"/>
      <c r="B133" s="544" t="s">
        <v>657</v>
      </c>
      <c r="C133" s="513">
        <v>27</v>
      </c>
      <c r="D133" s="545" t="s">
        <v>703</v>
      </c>
      <c r="E133" s="514" t="s">
        <v>97</v>
      </c>
      <c r="F133" s="546">
        <v>55</v>
      </c>
      <c r="G133" s="547">
        <v>3.38</v>
      </c>
      <c r="H133" s="548">
        <f t="shared" ref="H133" si="4">F133*G133</f>
        <v>185.9</v>
      </c>
      <c r="I133" s="547"/>
      <c r="J133" s="549"/>
      <c r="K133" s="548"/>
      <c r="L133" s="547"/>
      <c r="M133" s="549"/>
      <c r="N133" s="550"/>
      <c r="O133" s="551"/>
    </row>
    <row r="134" spans="1:15" s="552" customFormat="1" ht="15" customHeight="1" x14ac:dyDescent="0.25">
      <c r="A134" s="543"/>
      <c r="B134" s="544" t="s">
        <v>658</v>
      </c>
      <c r="C134" s="513">
        <v>33</v>
      </c>
      <c r="D134" s="545" t="s">
        <v>704</v>
      </c>
      <c r="E134" s="514" t="s">
        <v>97</v>
      </c>
      <c r="F134" s="546">
        <v>22</v>
      </c>
      <c r="G134" s="547">
        <v>4.18</v>
      </c>
      <c r="H134" s="548">
        <f t="shared" ref="H134" si="5">F134*G134</f>
        <v>91.96</v>
      </c>
      <c r="I134" s="547"/>
      <c r="J134" s="549"/>
      <c r="K134" s="548"/>
      <c r="L134" s="547"/>
      <c r="M134" s="549"/>
      <c r="N134" s="550"/>
      <c r="O134" s="551"/>
    </row>
    <row r="135" spans="1:15" s="552" customFormat="1" ht="15" customHeight="1" x14ac:dyDescent="0.25">
      <c r="A135" s="543"/>
      <c r="B135" s="544" t="s">
        <v>657</v>
      </c>
      <c r="C135" s="513">
        <v>337</v>
      </c>
      <c r="D135" s="545" t="s">
        <v>705</v>
      </c>
      <c r="E135" s="514" t="s">
        <v>97</v>
      </c>
      <c r="F135" s="546">
        <v>2.5</v>
      </c>
      <c r="G135" s="547">
        <v>7.34</v>
      </c>
      <c r="H135" s="548">
        <f t="shared" ref="H135" si="6">F135*G135</f>
        <v>18.350000000000001</v>
      </c>
      <c r="I135" s="547"/>
      <c r="J135" s="549"/>
      <c r="K135" s="548"/>
      <c r="L135" s="547"/>
      <c r="M135" s="549"/>
      <c r="N135" s="550"/>
      <c r="O135" s="551"/>
    </row>
    <row r="136" spans="1:15" s="23" customFormat="1" ht="14.25" x14ac:dyDescent="0.2">
      <c r="A136" s="134"/>
      <c r="B136" s="129"/>
      <c r="C136" s="29"/>
      <c r="D136" s="117" t="s">
        <v>83</v>
      </c>
      <c r="E136" s="30"/>
      <c r="F136" s="118"/>
      <c r="G136" s="31"/>
      <c r="H136" s="104"/>
      <c r="I136" s="27"/>
      <c r="J136" s="105"/>
      <c r="K136" s="104"/>
      <c r="L136" s="27"/>
      <c r="M136" s="105"/>
      <c r="N136" s="92"/>
      <c r="O136" s="92"/>
    </row>
    <row r="137" spans="1:15" s="266" customFormat="1" ht="12.75" x14ac:dyDescent="0.2">
      <c r="A137" s="516"/>
      <c r="B137" s="517"/>
      <c r="C137" s="518" t="s">
        <v>179</v>
      </c>
      <c r="D137" s="519" t="s">
        <v>101</v>
      </c>
      <c r="E137" s="520"/>
      <c r="F137" s="519"/>
      <c r="G137" s="520"/>
      <c r="H137" s="521"/>
      <c r="I137" s="522"/>
      <c r="J137" s="523"/>
      <c r="K137" s="521"/>
      <c r="L137" s="522"/>
      <c r="M137" s="523"/>
      <c r="N137" s="524"/>
      <c r="O137" s="525">
        <f>SUM(O139:O148)</f>
        <v>15495.676123499999</v>
      </c>
    </row>
    <row r="138" spans="1:15" s="23" customFormat="1" ht="14.25" x14ac:dyDescent="0.2">
      <c r="A138" s="134"/>
      <c r="B138" s="130"/>
      <c r="C138" s="34"/>
      <c r="D138" s="117" t="s">
        <v>83</v>
      </c>
      <c r="E138" s="30"/>
      <c r="F138" s="118"/>
      <c r="G138" s="31"/>
      <c r="H138" s="104"/>
      <c r="I138" s="27"/>
      <c r="J138" s="105"/>
      <c r="K138" s="104"/>
      <c r="L138" s="27"/>
      <c r="M138" s="105"/>
      <c r="N138" s="92"/>
      <c r="O138" s="92"/>
    </row>
    <row r="139" spans="1:15" s="23" customFormat="1" ht="14.25" x14ac:dyDescent="0.2">
      <c r="A139" s="135"/>
      <c r="B139" s="120"/>
      <c r="C139" s="122"/>
      <c r="D139" s="124" t="s">
        <v>102</v>
      </c>
      <c r="E139" s="122"/>
      <c r="F139" s="90"/>
      <c r="G139" s="116"/>
      <c r="H139" s="102"/>
      <c r="I139" s="35"/>
      <c r="J139" s="103"/>
      <c r="K139" s="102"/>
      <c r="L139" s="35"/>
      <c r="M139" s="103"/>
      <c r="N139" s="90"/>
      <c r="O139" s="90"/>
    </row>
    <row r="140" spans="1:15" s="23" customFormat="1" ht="14.25" x14ac:dyDescent="0.2">
      <c r="A140" s="134"/>
      <c r="B140" s="130"/>
      <c r="C140" s="34"/>
      <c r="D140" s="117" t="s">
        <v>83</v>
      </c>
      <c r="E140" s="30"/>
      <c r="F140" s="118"/>
      <c r="G140" s="31"/>
      <c r="H140" s="104"/>
      <c r="I140" s="27"/>
      <c r="J140" s="105"/>
      <c r="K140" s="104"/>
      <c r="L140" s="27"/>
      <c r="M140" s="105"/>
      <c r="N140" s="92"/>
      <c r="O140" s="92"/>
    </row>
    <row r="141" spans="1:15" s="23" customFormat="1" ht="22.5" x14ac:dyDescent="0.2">
      <c r="A141" s="223" t="s">
        <v>79</v>
      </c>
      <c r="B141" s="224" t="s">
        <v>750</v>
      </c>
      <c r="C141" s="225" t="s">
        <v>315</v>
      </c>
      <c r="D141" s="226" t="s">
        <v>757</v>
      </c>
      <c r="E141" s="225" t="s">
        <v>94</v>
      </c>
      <c r="F141" s="515">
        <f>'MEMÓRIA DE CÁLCULO'!F57</f>
        <v>9.1</v>
      </c>
      <c r="G141" s="228"/>
      <c r="H141" s="229">
        <f>H142</f>
        <v>77.599999999999994</v>
      </c>
      <c r="I141" s="230">
        <v>0</v>
      </c>
      <c r="J141" s="231">
        <f>(H141+I141)</f>
        <v>77.599999999999994</v>
      </c>
      <c r="K141" s="229">
        <f>F141*H141</f>
        <v>706.16</v>
      </c>
      <c r="L141" s="230">
        <f>F141*I141</f>
        <v>0</v>
      </c>
      <c r="M141" s="231">
        <f>K141+L141</f>
        <v>706.16</v>
      </c>
      <c r="N141" s="227">
        <f>M141*$N$7</f>
        <v>191.22812799999997</v>
      </c>
      <c r="O141" s="227">
        <f>M141+N141</f>
        <v>897.38812799999994</v>
      </c>
    </row>
    <row r="142" spans="1:15" s="552" customFormat="1" ht="29.25" customHeight="1" x14ac:dyDescent="0.25">
      <c r="A142" s="543"/>
      <c r="B142" s="544"/>
      <c r="C142" s="513"/>
      <c r="D142" s="545" t="str">
        <f>D141</f>
        <v>Parede de gesso acartonado simples interna, espessura final 100 mm, pé-direito conforme projeto arquitetônico - instalado conforme recomendações do fabricante</v>
      </c>
      <c r="E142" s="514" t="s">
        <v>94</v>
      </c>
      <c r="F142" s="546">
        <v>1</v>
      </c>
      <c r="G142" s="547">
        <v>77.599999999999994</v>
      </c>
      <c r="H142" s="548">
        <f>F142*G142</f>
        <v>77.599999999999994</v>
      </c>
      <c r="I142" s="547"/>
      <c r="J142" s="549"/>
      <c r="K142" s="548"/>
      <c r="L142" s="547"/>
      <c r="M142" s="549"/>
      <c r="N142" s="550"/>
      <c r="O142" s="551"/>
    </row>
    <row r="143" spans="1:15" s="23" customFormat="1" ht="14.25" x14ac:dyDescent="0.2">
      <c r="A143" s="134"/>
      <c r="B143" s="129"/>
      <c r="C143" s="29"/>
      <c r="D143" s="117" t="s">
        <v>83</v>
      </c>
      <c r="E143" s="30"/>
      <c r="F143" s="118"/>
      <c r="G143" s="31"/>
      <c r="H143" s="104"/>
      <c r="I143" s="27"/>
      <c r="J143" s="105"/>
      <c r="K143" s="104"/>
      <c r="L143" s="27"/>
      <c r="M143" s="105"/>
      <c r="N143" s="91"/>
      <c r="O143" s="91"/>
    </row>
    <row r="144" spans="1:15" s="23" customFormat="1" ht="33.75" x14ac:dyDescent="0.2">
      <c r="A144" s="223" t="s">
        <v>79</v>
      </c>
      <c r="B144" s="224" t="s">
        <v>751</v>
      </c>
      <c r="C144" s="225" t="s">
        <v>316</v>
      </c>
      <c r="D144" s="226" t="s">
        <v>758</v>
      </c>
      <c r="E144" s="225" t="s">
        <v>94</v>
      </c>
      <c r="F144" s="515">
        <f>'MEMÓRIA DE CÁLCULO'!F55</f>
        <v>27.625</v>
      </c>
      <c r="G144" s="228"/>
      <c r="H144" s="229">
        <f>H145</f>
        <v>83.47</v>
      </c>
      <c r="I144" s="230">
        <v>0</v>
      </c>
      <c r="J144" s="231">
        <f>(H144+I144)</f>
        <v>83.47</v>
      </c>
      <c r="K144" s="229">
        <f>F144*H144</f>
        <v>2305.8587499999999</v>
      </c>
      <c r="L144" s="230">
        <f>F144*I144</f>
        <v>0</v>
      </c>
      <c r="M144" s="231">
        <f>K144+L144</f>
        <v>2305.8587499999999</v>
      </c>
      <c r="N144" s="227">
        <f>M144*$N$7</f>
        <v>624.42654949999996</v>
      </c>
      <c r="O144" s="227">
        <f>M144+N144</f>
        <v>2930.2852994999998</v>
      </c>
    </row>
    <row r="145" spans="1:15" s="552" customFormat="1" ht="24.75" customHeight="1" x14ac:dyDescent="0.25">
      <c r="A145" s="543"/>
      <c r="B145" s="544"/>
      <c r="C145" s="513"/>
      <c r="D145" s="545" t="str">
        <f>D144</f>
        <v>Parede de gesso acartonado para parede interna em local úmido, VERDE,  espessura final 125 mm, pé-direito conforme projeto arquitetonico - instalado conforme orinetações do fabricante.</v>
      </c>
      <c r="E145" s="514" t="s">
        <v>94</v>
      </c>
      <c r="F145" s="546">
        <v>1</v>
      </c>
      <c r="G145" s="547">
        <v>83.47</v>
      </c>
      <c r="H145" s="548">
        <f>F145*G145</f>
        <v>83.47</v>
      </c>
      <c r="I145" s="547"/>
      <c r="J145" s="549"/>
      <c r="K145" s="548"/>
      <c r="L145" s="547"/>
      <c r="M145" s="549"/>
      <c r="N145" s="550"/>
      <c r="O145" s="551"/>
    </row>
    <row r="146" spans="1:15" s="23" customFormat="1" ht="14.25" x14ac:dyDescent="0.2">
      <c r="A146" s="134"/>
      <c r="B146" s="129"/>
      <c r="C146" s="29"/>
      <c r="D146" s="117" t="s">
        <v>83</v>
      </c>
      <c r="E146" s="30"/>
      <c r="F146" s="118"/>
      <c r="G146" s="31"/>
      <c r="H146" s="104"/>
      <c r="I146" s="27"/>
      <c r="J146" s="105"/>
      <c r="K146" s="104"/>
      <c r="L146" s="27"/>
      <c r="M146" s="105"/>
      <c r="N146" s="94"/>
      <c r="O146" s="94"/>
    </row>
    <row r="147" spans="1:15" s="23" customFormat="1" ht="101.25" customHeight="1" x14ac:dyDescent="0.2">
      <c r="A147" s="223" t="s">
        <v>28</v>
      </c>
      <c r="B147" s="224"/>
      <c r="C147" s="225" t="s">
        <v>533</v>
      </c>
      <c r="D147" s="226" t="s">
        <v>759</v>
      </c>
      <c r="E147" s="225" t="s">
        <v>94</v>
      </c>
      <c r="F147" s="515">
        <v>24.29</v>
      </c>
      <c r="G147" s="228"/>
      <c r="H147" s="229">
        <v>333</v>
      </c>
      <c r="I147" s="230">
        <v>45</v>
      </c>
      <c r="J147" s="231">
        <f>(H147+I147)</f>
        <v>378</v>
      </c>
      <c r="K147" s="229">
        <f>F147*H147</f>
        <v>8088.57</v>
      </c>
      <c r="L147" s="230">
        <f>F147*I147</f>
        <v>1093.05</v>
      </c>
      <c r="M147" s="231">
        <f>K147+L147</f>
        <v>9181.619999999999</v>
      </c>
      <c r="N147" s="227">
        <f>M147*$N$7</f>
        <v>2486.3826959999997</v>
      </c>
      <c r="O147" s="227">
        <f>M147+N147</f>
        <v>11668.002696</v>
      </c>
    </row>
    <row r="148" spans="1:15" s="23" customFormat="1" ht="14.25" x14ac:dyDescent="0.2">
      <c r="A148" s="134"/>
      <c r="B148" s="129"/>
      <c r="C148" s="29"/>
      <c r="D148" s="117" t="s">
        <v>83</v>
      </c>
      <c r="E148" s="30"/>
      <c r="F148" s="118"/>
      <c r="G148" s="31"/>
      <c r="H148" s="104"/>
      <c r="I148" s="27"/>
      <c r="J148" s="105"/>
      <c r="K148" s="104"/>
      <c r="L148" s="27"/>
      <c r="M148" s="105"/>
      <c r="N148" s="91"/>
      <c r="O148" s="91"/>
    </row>
    <row r="149" spans="1:15" s="266" customFormat="1" ht="12.75" x14ac:dyDescent="0.2">
      <c r="A149" s="516"/>
      <c r="B149" s="517"/>
      <c r="C149" s="518" t="s">
        <v>317</v>
      </c>
      <c r="D149" s="519" t="s">
        <v>103</v>
      </c>
      <c r="E149" s="520"/>
      <c r="F149" s="519"/>
      <c r="G149" s="520"/>
      <c r="H149" s="521"/>
      <c r="I149" s="522"/>
      <c r="J149" s="523"/>
      <c r="K149" s="521"/>
      <c r="L149" s="522"/>
      <c r="M149" s="523"/>
      <c r="N149" s="524"/>
      <c r="O149" s="525">
        <f>SUM(O151:O238)</f>
        <v>6648.4691406000011</v>
      </c>
    </row>
    <row r="150" spans="1:15" s="23" customFormat="1" ht="14.25" x14ac:dyDescent="0.2">
      <c r="A150" s="134"/>
      <c r="B150" s="129"/>
      <c r="C150" s="29"/>
      <c r="D150" s="117" t="s">
        <v>83</v>
      </c>
      <c r="E150" s="30"/>
      <c r="F150" s="118"/>
      <c r="G150" s="31"/>
      <c r="H150" s="104"/>
      <c r="I150" s="27"/>
      <c r="J150" s="105"/>
      <c r="K150" s="104"/>
      <c r="L150" s="27"/>
      <c r="M150" s="105"/>
      <c r="N150" s="92"/>
      <c r="O150" s="92"/>
    </row>
    <row r="151" spans="1:15" s="23" customFormat="1" ht="14.25" x14ac:dyDescent="0.2">
      <c r="A151" s="135"/>
      <c r="B151" s="120"/>
      <c r="C151" s="122"/>
      <c r="D151" s="124" t="s">
        <v>104</v>
      </c>
      <c r="E151" s="122"/>
      <c r="F151" s="90"/>
      <c r="G151" s="116"/>
      <c r="H151" s="102"/>
      <c r="I151" s="35"/>
      <c r="J151" s="103"/>
      <c r="K151" s="102"/>
      <c r="L151" s="35"/>
      <c r="M151" s="103"/>
      <c r="N151" s="90"/>
      <c r="O151" s="90"/>
    </row>
    <row r="152" spans="1:15" s="23" customFormat="1" ht="14.25" x14ac:dyDescent="0.2">
      <c r="A152" s="134"/>
      <c r="B152" s="129"/>
      <c r="C152" s="29"/>
      <c r="D152" s="117" t="s">
        <v>83</v>
      </c>
      <c r="E152" s="30"/>
      <c r="F152" s="118"/>
      <c r="G152" s="31"/>
      <c r="H152" s="104"/>
      <c r="I152" s="27"/>
      <c r="J152" s="105"/>
      <c r="K152" s="104"/>
      <c r="L152" s="27"/>
      <c r="M152" s="105"/>
      <c r="N152" s="92"/>
      <c r="O152" s="92"/>
    </row>
    <row r="153" spans="1:15" s="23" customFormat="1" ht="62.25" customHeight="1" x14ac:dyDescent="0.2">
      <c r="A153" s="223" t="s">
        <v>78</v>
      </c>
      <c r="B153" s="224" t="s">
        <v>718</v>
      </c>
      <c r="C153" s="225" t="s">
        <v>318</v>
      </c>
      <c r="D153" s="226" t="s">
        <v>501</v>
      </c>
      <c r="E153" s="225" t="s">
        <v>81</v>
      </c>
      <c r="F153" s="515">
        <v>3</v>
      </c>
      <c r="G153" s="228"/>
      <c r="H153" s="229">
        <f>ROUND(SUM(H154:H164),2)</f>
        <v>437.86</v>
      </c>
      <c r="I153" s="229">
        <f>ROUND(SUM(I154:I164),2)</f>
        <v>75.27</v>
      </c>
      <c r="J153" s="231">
        <f>(H153+I153)</f>
        <v>513.13</v>
      </c>
      <c r="K153" s="229">
        <f>F153*H153</f>
        <v>1313.58</v>
      </c>
      <c r="L153" s="230">
        <f>F153*I153</f>
        <v>225.81</v>
      </c>
      <c r="M153" s="231">
        <f>K153+L153</f>
        <v>1539.3899999999999</v>
      </c>
      <c r="N153" s="227">
        <f>M153*$N$7</f>
        <v>416.86681199999992</v>
      </c>
      <c r="O153" s="227">
        <f>M153+N153</f>
        <v>1956.2568119999999</v>
      </c>
    </row>
    <row r="154" spans="1:15" s="552" customFormat="1" ht="15" customHeight="1" x14ac:dyDescent="0.25">
      <c r="A154" s="543"/>
      <c r="B154" s="544" t="s">
        <v>715</v>
      </c>
      <c r="C154" s="513">
        <v>1214</v>
      </c>
      <c r="D154" s="545" t="s">
        <v>713</v>
      </c>
      <c r="E154" s="514" t="s">
        <v>42</v>
      </c>
      <c r="F154" s="546">
        <v>2.085</v>
      </c>
      <c r="G154" s="547">
        <v>12.39</v>
      </c>
      <c r="H154" s="548"/>
      <c r="I154" s="547">
        <f>F154*G154</f>
        <v>25.83315</v>
      </c>
      <c r="J154" s="549"/>
      <c r="K154" s="548"/>
      <c r="L154" s="547"/>
      <c r="M154" s="549"/>
      <c r="N154" s="550"/>
      <c r="O154" s="551"/>
    </row>
    <row r="155" spans="1:15" s="552" customFormat="1" ht="15" customHeight="1" x14ac:dyDescent="0.25">
      <c r="A155" s="543"/>
      <c r="B155" s="544" t="s">
        <v>715</v>
      </c>
      <c r="C155" s="513">
        <v>4750</v>
      </c>
      <c r="D155" s="545" t="s">
        <v>714</v>
      </c>
      <c r="E155" s="514" t="s">
        <v>42</v>
      </c>
      <c r="F155" s="546">
        <v>1.4279999999999999</v>
      </c>
      <c r="G155" s="547">
        <v>12.57</v>
      </c>
      <c r="H155" s="548"/>
      <c r="I155" s="547">
        <f t="shared" ref="I155:I156" si="7">F155*G155</f>
        <v>17.949960000000001</v>
      </c>
      <c r="J155" s="549"/>
      <c r="K155" s="548"/>
      <c r="L155" s="547"/>
      <c r="M155" s="549"/>
      <c r="N155" s="550"/>
      <c r="O155" s="551"/>
    </row>
    <row r="156" spans="1:15" s="552" customFormat="1" ht="15" customHeight="1" x14ac:dyDescent="0.25">
      <c r="A156" s="543"/>
      <c r="B156" s="544" t="s">
        <v>658</v>
      </c>
      <c r="C156" s="513">
        <v>6111</v>
      </c>
      <c r="D156" s="545" t="s">
        <v>670</v>
      </c>
      <c r="E156" s="514" t="s">
        <v>42</v>
      </c>
      <c r="F156" s="546">
        <v>3.53</v>
      </c>
      <c r="G156" s="547">
        <v>8.92</v>
      </c>
      <c r="H156" s="548"/>
      <c r="I156" s="547">
        <f t="shared" si="7"/>
        <v>31.487599999999997</v>
      </c>
      <c r="J156" s="549"/>
      <c r="K156" s="548"/>
      <c r="L156" s="547"/>
      <c r="M156" s="549"/>
      <c r="N156" s="550"/>
      <c r="O156" s="551"/>
    </row>
    <row r="157" spans="1:15" s="552" customFormat="1" ht="15" customHeight="1" x14ac:dyDescent="0.25">
      <c r="A157" s="543"/>
      <c r="B157" s="544" t="s">
        <v>664</v>
      </c>
      <c r="C157" s="513">
        <v>88627</v>
      </c>
      <c r="D157" s="545" t="s">
        <v>706</v>
      </c>
      <c r="E157" s="514" t="s">
        <v>233</v>
      </c>
      <c r="F157" s="546">
        <v>1.0200000000000001E-2</v>
      </c>
      <c r="G157" s="547">
        <v>392.17</v>
      </c>
      <c r="H157" s="548">
        <f t="shared" ref="H157:H164" si="8">F157*G157</f>
        <v>4.0001340000000001</v>
      </c>
      <c r="I157" s="547"/>
      <c r="J157" s="549"/>
      <c r="K157" s="548"/>
      <c r="L157" s="547"/>
      <c r="M157" s="549"/>
      <c r="N157" s="550"/>
      <c r="O157" s="551"/>
    </row>
    <row r="158" spans="1:15" s="552" customFormat="1" ht="15" customHeight="1" x14ac:dyDescent="0.25">
      <c r="A158" s="543"/>
      <c r="B158" s="544" t="s">
        <v>657</v>
      </c>
      <c r="C158" s="513">
        <v>183</v>
      </c>
      <c r="D158" s="545" t="s">
        <v>707</v>
      </c>
      <c r="E158" s="514" t="s">
        <v>708</v>
      </c>
      <c r="F158" s="546">
        <v>1</v>
      </c>
      <c r="G158" s="547">
        <v>107.3</v>
      </c>
      <c r="H158" s="548">
        <f t="shared" si="8"/>
        <v>107.3</v>
      </c>
      <c r="I158" s="547"/>
      <c r="J158" s="549"/>
      <c r="K158" s="548"/>
      <c r="L158" s="547"/>
      <c r="M158" s="549"/>
      <c r="N158" s="550"/>
      <c r="O158" s="551"/>
    </row>
    <row r="159" spans="1:15" s="552" customFormat="1" ht="15" customHeight="1" x14ac:dyDescent="0.25">
      <c r="A159" s="543"/>
      <c r="B159" s="544" t="s">
        <v>657</v>
      </c>
      <c r="C159" s="513">
        <v>187</v>
      </c>
      <c r="D159" s="545" t="s">
        <v>711</v>
      </c>
      <c r="E159" s="514" t="s">
        <v>56</v>
      </c>
      <c r="F159" s="546">
        <v>10.199999999999999</v>
      </c>
      <c r="G159" s="547">
        <v>7.85</v>
      </c>
      <c r="H159" s="548">
        <f>F159*G159</f>
        <v>80.069999999999993</v>
      </c>
      <c r="I159" s="547"/>
      <c r="J159" s="549"/>
      <c r="K159" s="548"/>
      <c r="L159" s="547"/>
      <c r="M159" s="549"/>
      <c r="N159" s="550"/>
      <c r="O159" s="551"/>
    </row>
    <row r="160" spans="1:15" s="552" customFormat="1" ht="15" customHeight="1" x14ac:dyDescent="0.25">
      <c r="A160" s="543"/>
      <c r="B160" s="544" t="s">
        <v>658</v>
      </c>
      <c r="C160" s="513">
        <v>4378</v>
      </c>
      <c r="D160" s="545" t="s">
        <v>709</v>
      </c>
      <c r="E160" s="514" t="s">
        <v>41</v>
      </c>
      <c r="F160" s="546">
        <v>6</v>
      </c>
      <c r="G160" s="547">
        <v>0.47</v>
      </c>
      <c r="H160" s="548">
        <f>F160*G160</f>
        <v>2.82</v>
      </c>
      <c r="I160" s="547"/>
      <c r="J160" s="549"/>
      <c r="K160" s="548"/>
      <c r="L160" s="547"/>
      <c r="M160" s="549"/>
      <c r="N160" s="550"/>
      <c r="O160" s="551"/>
    </row>
    <row r="161" spans="1:15" s="552" customFormat="1" ht="15" customHeight="1" x14ac:dyDescent="0.25">
      <c r="A161" s="543"/>
      <c r="B161" s="544" t="s">
        <v>658</v>
      </c>
      <c r="C161" s="513">
        <v>4419</v>
      </c>
      <c r="D161" s="545" t="s">
        <v>710</v>
      </c>
      <c r="E161" s="514" t="s">
        <v>41</v>
      </c>
      <c r="F161" s="546">
        <v>6</v>
      </c>
      <c r="G161" s="547">
        <v>0.66</v>
      </c>
      <c r="H161" s="548">
        <f>F161*G161</f>
        <v>3.96</v>
      </c>
      <c r="I161" s="547"/>
      <c r="J161" s="549"/>
      <c r="K161" s="548"/>
      <c r="L161" s="547"/>
      <c r="M161" s="549"/>
      <c r="N161" s="550"/>
      <c r="O161" s="551"/>
    </row>
    <row r="162" spans="1:15" s="552" customFormat="1" ht="15" customHeight="1" x14ac:dyDescent="0.25">
      <c r="A162" s="543"/>
      <c r="B162" s="544" t="s">
        <v>658</v>
      </c>
      <c r="C162" s="513">
        <v>4987</v>
      </c>
      <c r="D162" s="545" t="s">
        <v>719</v>
      </c>
      <c r="E162" s="514" t="s">
        <v>41</v>
      </c>
      <c r="F162" s="546">
        <v>1</v>
      </c>
      <c r="G162" s="547">
        <v>116.22</v>
      </c>
      <c r="H162" s="548">
        <f t="shared" si="8"/>
        <v>116.22</v>
      </c>
      <c r="I162" s="547"/>
      <c r="J162" s="549"/>
      <c r="K162" s="548"/>
      <c r="L162" s="547"/>
      <c r="M162" s="549"/>
      <c r="N162" s="550"/>
      <c r="O162" s="551"/>
    </row>
    <row r="163" spans="1:15" s="552" customFormat="1" ht="15" customHeight="1" x14ac:dyDescent="0.25">
      <c r="A163" s="543"/>
      <c r="B163" s="544" t="s">
        <v>80</v>
      </c>
      <c r="C163" s="513"/>
      <c r="D163" s="545" t="s">
        <v>724</v>
      </c>
      <c r="E163" s="514" t="s">
        <v>41</v>
      </c>
      <c r="F163" s="546">
        <v>3</v>
      </c>
      <c r="G163" s="547">
        <v>39.630000000000003</v>
      </c>
      <c r="H163" s="548">
        <f>F163*G163</f>
        <v>118.89000000000001</v>
      </c>
      <c r="I163" s="547"/>
      <c r="J163" s="549"/>
      <c r="K163" s="548"/>
      <c r="L163" s="547"/>
      <c r="M163" s="549"/>
      <c r="N163" s="550"/>
      <c r="O163" s="551"/>
    </row>
    <row r="164" spans="1:15" s="552" customFormat="1" ht="15" customHeight="1" x14ac:dyDescent="0.25">
      <c r="A164" s="543"/>
      <c r="B164" s="544" t="s">
        <v>658</v>
      </c>
      <c r="C164" s="513">
        <v>20247</v>
      </c>
      <c r="D164" s="545" t="s">
        <v>712</v>
      </c>
      <c r="E164" s="514" t="s">
        <v>694</v>
      </c>
      <c r="F164" s="546">
        <v>0.61199999999999999</v>
      </c>
      <c r="G164" s="547">
        <v>7.52</v>
      </c>
      <c r="H164" s="548">
        <f t="shared" si="8"/>
        <v>4.6022399999999992</v>
      </c>
      <c r="I164" s="547"/>
      <c r="J164" s="549"/>
      <c r="K164" s="548"/>
      <c r="L164" s="547"/>
      <c r="M164" s="549"/>
      <c r="N164" s="550"/>
      <c r="O164" s="551"/>
    </row>
    <row r="165" spans="1:15" s="552" customFormat="1" ht="15" customHeight="1" x14ac:dyDescent="0.25">
      <c r="A165" s="543"/>
      <c r="B165" s="544"/>
      <c r="C165" s="513"/>
      <c r="D165" s="545"/>
      <c r="E165" s="514"/>
      <c r="F165" s="546"/>
      <c r="G165" s="547"/>
      <c r="H165" s="548"/>
      <c r="I165" s="547"/>
      <c r="J165" s="549"/>
      <c r="K165" s="548"/>
      <c r="L165" s="547"/>
      <c r="M165" s="549"/>
      <c r="N165" s="550"/>
      <c r="O165" s="551"/>
    </row>
    <row r="166" spans="1:15" s="23" customFormat="1" ht="45" x14ac:dyDescent="0.2">
      <c r="A166" s="223" t="s">
        <v>78</v>
      </c>
      <c r="B166" s="224" t="s">
        <v>718</v>
      </c>
      <c r="C166" s="225" t="s">
        <v>534</v>
      </c>
      <c r="D166" s="226" t="s">
        <v>196</v>
      </c>
      <c r="E166" s="225" t="s">
        <v>81</v>
      </c>
      <c r="F166" s="515">
        <f>'MEMÓRIA DE CÁLCULO'!D66</f>
        <v>1</v>
      </c>
      <c r="G166" s="228"/>
      <c r="H166" s="229">
        <f>ROUND(SUM(H167:H178),2)</f>
        <v>557.29</v>
      </c>
      <c r="I166" s="229">
        <f>ROUND(SUM(I167:I178),2)</f>
        <v>75.27</v>
      </c>
      <c r="J166" s="231">
        <f>(H166+I166)</f>
        <v>632.55999999999995</v>
      </c>
      <c r="K166" s="229">
        <f>F166*H166</f>
        <v>557.29</v>
      </c>
      <c r="L166" s="230">
        <f>F166*I166</f>
        <v>75.27</v>
      </c>
      <c r="M166" s="231">
        <f>K166+L166</f>
        <v>632.55999999999995</v>
      </c>
      <c r="N166" s="227">
        <f>M166*$N$7</f>
        <v>171.29724799999997</v>
      </c>
      <c r="O166" s="227">
        <f>M166+N166</f>
        <v>803.85724799999991</v>
      </c>
    </row>
    <row r="167" spans="1:15" s="552" customFormat="1" ht="15" customHeight="1" x14ac:dyDescent="0.25">
      <c r="A167" s="543"/>
      <c r="B167" s="544" t="s">
        <v>715</v>
      </c>
      <c r="C167" s="513">
        <v>1214</v>
      </c>
      <c r="D167" s="545" t="s">
        <v>713</v>
      </c>
      <c r="E167" s="514" t="s">
        <v>42</v>
      </c>
      <c r="F167" s="546">
        <v>2.085</v>
      </c>
      <c r="G167" s="547">
        <v>12.39</v>
      </c>
      <c r="H167" s="548"/>
      <c r="I167" s="547">
        <f>F167*G167</f>
        <v>25.83315</v>
      </c>
      <c r="J167" s="549"/>
      <c r="K167" s="548"/>
      <c r="L167" s="547"/>
      <c r="M167" s="549"/>
      <c r="N167" s="550"/>
      <c r="O167" s="551"/>
    </row>
    <row r="168" spans="1:15" s="552" customFormat="1" ht="15" customHeight="1" x14ac:dyDescent="0.25">
      <c r="A168" s="543"/>
      <c r="B168" s="544" t="s">
        <v>715</v>
      </c>
      <c r="C168" s="513">
        <v>4750</v>
      </c>
      <c r="D168" s="545" t="s">
        <v>714</v>
      </c>
      <c r="E168" s="514" t="s">
        <v>42</v>
      </c>
      <c r="F168" s="546">
        <v>1.4279999999999999</v>
      </c>
      <c r="G168" s="547">
        <v>12.57</v>
      </c>
      <c r="H168" s="548"/>
      <c r="I168" s="547">
        <f t="shared" ref="I168:I169" si="9">F168*G168</f>
        <v>17.949960000000001</v>
      </c>
      <c r="J168" s="549"/>
      <c r="K168" s="548"/>
      <c r="L168" s="547"/>
      <c r="M168" s="549"/>
      <c r="N168" s="550"/>
      <c r="O168" s="551"/>
    </row>
    <row r="169" spans="1:15" s="552" customFormat="1" ht="15" customHeight="1" x14ac:dyDescent="0.25">
      <c r="A169" s="543"/>
      <c r="B169" s="544" t="s">
        <v>658</v>
      </c>
      <c r="C169" s="513">
        <v>6111</v>
      </c>
      <c r="D169" s="545" t="s">
        <v>670</v>
      </c>
      <c r="E169" s="514" t="s">
        <v>42</v>
      </c>
      <c r="F169" s="546">
        <v>3.53</v>
      </c>
      <c r="G169" s="547">
        <v>8.92</v>
      </c>
      <c r="H169" s="548"/>
      <c r="I169" s="547">
        <f t="shared" si="9"/>
        <v>31.487599999999997</v>
      </c>
      <c r="J169" s="549"/>
      <c r="K169" s="548"/>
      <c r="L169" s="547"/>
      <c r="M169" s="549"/>
      <c r="N169" s="550"/>
      <c r="O169" s="551"/>
    </row>
    <row r="170" spans="1:15" s="552" customFormat="1" ht="15" customHeight="1" x14ac:dyDescent="0.25">
      <c r="A170" s="543"/>
      <c r="B170" s="544" t="s">
        <v>664</v>
      </c>
      <c r="C170" s="513">
        <v>88627</v>
      </c>
      <c r="D170" s="545" t="s">
        <v>706</v>
      </c>
      <c r="E170" s="514" t="s">
        <v>233</v>
      </c>
      <c r="F170" s="546">
        <v>1.0200000000000001E-2</v>
      </c>
      <c r="G170" s="547">
        <v>392.17</v>
      </c>
      <c r="H170" s="548">
        <f t="shared" ref="H170:H171" si="10">F170*G170</f>
        <v>4.0001340000000001</v>
      </c>
      <c r="I170" s="547"/>
      <c r="J170" s="549"/>
      <c r="K170" s="548"/>
      <c r="L170" s="547"/>
      <c r="M170" s="549"/>
      <c r="N170" s="550"/>
      <c r="O170" s="551"/>
    </row>
    <row r="171" spans="1:15" s="552" customFormat="1" ht="15" customHeight="1" x14ac:dyDescent="0.25">
      <c r="A171" s="543"/>
      <c r="B171" s="544" t="s">
        <v>657</v>
      </c>
      <c r="C171" s="513">
        <v>183</v>
      </c>
      <c r="D171" s="545" t="s">
        <v>707</v>
      </c>
      <c r="E171" s="514" t="s">
        <v>708</v>
      </c>
      <c r="F171" s="546">
        <v>1</v>
      </c>
      <c r="G171" s="547">
        <v>107.3</v>
      </c>
      <c r="H171" s="548">
        <f t="shared" si="10"/>
        <v>107.3</v>
      </c>
      <c r="I171" s="547"/>
      <c r="J171" s="549"/>
      <c r="K171" s="548"/>
      <c r="L171" s="547"/>
      <c r="M171" s="549"/>
      <c r="N171" s="550"/>
      <c r="O171" s="551"/>
    </row>
    <row r="172" spans="1:15" s="552" customFormat="1" ht="15" customHeight="1" x14ac:dyDescent="0.25">
      <c r="A172" s="543"/>
      <c r="B172" s="544" t="s">
        <v>657</v>
      </c>
      <c r="C172" s="513">
        <v>187</v>
      </c>
      <c r="D172" s="545" t="s">
        <v>711</v>
      </c>
      <c r="E172" s="514" t="s">
        <v>56</v>
      </c>
      <c r="F172" s="546">
        <v>10.199999999999999</v>
      </c>
      <c r="G172" s="547">
        <v>7.85</v>
      </c>
      <c r="H172" s="548">
        <f>F172*G172</f>
        <v>80.069999999999993</v>
      </c>
      <c r="I172" s="547"/>
      <c r="J172" s="549"/>
      <c r="K172" s="548"/>
      <c r="L172" s="547"/>
      <c r="M172" s="549"/>
      <c r="N172" s="550"/>
      <c r="O172" s="551"/>
    </row>
    <row r="173" spans="1:15" s="552" customFormat="1" ht="15" customHeight="1" x14ac:dyDescent="0.25">
      <c r="A173" s="543"/>
      <c r="B173" s="544" t="s">
        <v>658</v>
      </c>
      <c r="C173" s="513">
        <v>4378</v>
      </c>
      <c r="D173" s="545" t="s">
        <v>709</v>
      </c>
      <c r="E173" s="514" t="s">
        <v>41</v>
      </c>
      <c r="F173" s="546">
        <v>6</v>
      </c>
      <c r="G173" s="547">
        <v>0.47</v>
      </c>
      <c r="H173" s="548">
        <f>F173*G173</f>
        <v>2.82</v>
      </c>
      <c r="I173" s="547"/>
      <c r="J173" s="549"/>
      <c r="K173" s="548"/>
      <c r="L173" s="547"/>
      <c r="M173" s="549"/>
      <c r="N173" s="550"/>
      <c r="O173" s="551"/>
    </row>
    <row r="174" spans="1:15" s="552" customFormat="1" ht="15" customHeight="1" x14ac:dyDescent="0.25">
      <c r="A174" s="543"/>
      <c r="B174" s="544" t="s">
        <v>658</v>
      </c>
      <c r="C174" s="513">
        <v>4419</v>
      </c>
      <c r="D174" s="545" t="s">
        <v>710</v>
      </c>
      <c r="E174" s="514" t="s">
        <v>41</v>
      </c>
      <c r="F174" s="546">
        <v>6</v>
      </c>
      <c r="G174" s="547">
        <v>0.66</v>
      </c>
      <c r="H174" s="548">
        <f>F174*G174</f>
        <v>3.96</v>
      </c>
      <c r="I174" s="547"/>
      <c r="J174" s="549"/>
      <c r="K174" s="548"/>
      <c r="L174" s="547"/>
      <c r="M174" s="549"/>
      <c r="N174" s="550"/>
      <c r="O174" s="551"/>
    </row>
    <row r="175" spans="1:15" s="552" customFormat="1" ht="15" customHeight="1" x14ac:dyDescent="0.25">
      <c r="A175" s="543"/>
      <c r="B175" s="544" t="s">
        <v>658</v>
      </c>
      <c r="C175" s="513">
        <v>4987</v>
      </c>
      <c r="D175" s="545" t="s">
        <v>719</v>
      </c>
      <c r="E175" s="514" t="s">
        <v>41</v>
      </c>
      <c r="F175" s="546">
        <v>1</v>
      </c>
      <c r="G175" s="547">
        <v>116.22</v>
      </c>
      <c r="H175" s="548">
        <f t="shared" ref="H175" si="11">F175*G175</f>
        <v>116.22</v>
      </c>
      <c r="I175" s="547"/>
      <c r="J175" s="549"/>
      <c r="K175" s="548"/>
      <c r="L175" s="547"/>
      <c r="M175" s="549"/>
      <c r="N175" s="550"/>
      <c r="O175" s="551"/>
    </row>
    <row r="176" spans="1:15" s="552" customFormat="1" ht="15" customHeight="1" x14ac:dyDescent="0.25">
      <c r="A176" s="543"/>
      <c r="B176" s="544" t="s">
        <v>658</v>
      </c>
      <c r="C176" s="513">
        <v>11447</v>
      </c>
      <c r="D176" s="545" t="s">
        <v>720</v>
      </c>
      <c r="E176" s="514" t="s">
        <v>41</v>
      </c>
      <c r="F176" s="546">
        <v>3</v>
      </c>
      <c r="G176" s="547">
        <v>17.34</v>
      </c>
      <c r="H176" s="548">
        <f>F176*G176</f>
        <v>52.019999999999996</v>
      </c>
      <c r="I176" s="547"/>
      <c r="J176" s="549"/>
      <c r="K176" s="548"/>
      <c r="L176" s="547"/>
      <c r="M176" s="549"/>
      <c r="N176" s="550"/>
      <c r="O176" s="551"/>
    </row>
    <row r="177" spans="1:15" s="552" customFormat="1" ht="15" customHeight="1" x14ac:dyDescent="0.25">
      <c r="A177" s="543"/>
      <c r="B177" s="544" t="s">
        <v>658</v>
      </c>
      <c r="C177" s="513">
        <v>20247</v>
      </c>
      <c r="D177" s="545" t="s">
        <v>712</v>
      </c>
      <c r="E177" s="514" t="s">
        <v>694</v>
      </c>
      <c r="F177" s="546">
        <v>0.61199999999999999</v>
      </c>
      <c r="G177" s="547">
        <v>7.52</v>
      </c>
      <c r="H177" s="548">
        <f t="shared" ref="H177:H178" si="12">F177*G177</f>
        <v>4.6022399999999992</v>
      </c>
      <c r="I177" s="547"/>
      <c r="J177" s="549"/>
      <c r="K177" s="548"/>
      <c r="L177" s="547"/>
      <c r="M177" s="549"/>
      <c r="N177" s="550"/>
      <c r="O177" s="551"/>
    </row>
    <row r="178" spans="1:15" s="552" customFormat="1" ht="15" customHeight="1" x14ac:dyDescent="0.25">
      <c r="A178" s="543"/>
      <c r="B178" s="544" t="s">
        <v>80</v>
      </c>
      <c r="C178" s="513"/>
      <c r="D178" s="545" t="s">
        <v>721</v>
      </c>
      <c r="E178" s="514" t="s">
        <v>81</v>
      </c>
      <c r="F178" s="546">
        <v>2</v>
      </c>
      <c r="G178" s="547">
        <v>93.15</v>
      </c>
      <c r="H178" s="548">
        <f t="shared" si="12"/>
        <v>186.3</v>
      </c>
      <c r="I178" s="547"/>
      <c r="J178" s="549"/>
      <c r="K178" s="548"/>
      <c r="L178" s="547"/>
      <c r="M178" s="549"/>
      <c r="N178" s="550"/>
      <c r="O178" s="551"/>
    </row>
    <row r="179" spans="1:15" s="23" customFormat="1" ht="14.25" x14ac:dyDescent="0.2">
      <c r="A179" s="134"/>
      <c r="B179" s="129"/>
      <c r="C179" s="29"/>
      <c r="D179" s="117" t="s">
        <v>83</v>
      </c>
      <c r="E179" s="30"/>
      <c r="F179" s="118"/>
      <c r="G179" s="31"/>
      <c r="H179" s="104"/>
      <c r="I179" s="27"/>
      <c r="J179" s="105"/>
      <c r="K179" s="104"/>
      <c r="L179" s="27"/>
      <c r="M179" s="105"/>
      <c r="N179" s="92"/>
      <c r="O179" s="92"/>
    </row>
    <row r="180" spans="1:15" s="23" customFormat="1" ht="45" x14ac:dyDescent="0.2">
      <c r="A180" s="223" t="s">
        <v>78</v>
      </c>
      <c r="B180" s="224" t="s">
        <v>718</v>
      </c>
      <c r="C180" s="225" t="s">
        <v>319</v>
      </c>
      <c r="D180" s="226" t="s">
        <v>502</v>
      </c>
      <c r="E180" s="225" t="s">
        <v>81</v>
      </c>
      <c r="F180" s="515">
        <f>'MEMÓRIA DE CÁLCULO'!D67</f>
        <v>1</v>
      </c>
      <c r="G180" s="228"/>
      <c r="H180" s="229">
        <f>ROUND(SUM(H181:H191),2)</f>
        <v>336.31</v>
      </c>
      <c r="I180" s="229">
        <f>ROUND(SUM(I181:I192),2)</f>
        <v>75.27</v>
      </c>
      <c r="J180" s="231">
        <f>(H180+I180)</f>
        <v>411.58</v>
      </c>
      <c r="K180" s="229">
        <f>F180*H180</f>
        <v>336.31</v>
      </c>
      <c r="L180" s="230">
        <f>F180*I180</f>
        <v>75.27</v>
      </c>
      <c r="M180" s="231">
        <f>K180+L180</f>
        <v>411.58</v>
      </c>
      <c r="N180" s="227">
        <f>M180*$N$7</f>
        <v>111.45586399999999</v>
      </c>
      <c r="O180" s="227">
        <f>M180+N180</f>
        <v>523.03586399999995</v>
      </c>
    </row>
    <row r="181" spans="1:15" s="552" customFormat="1" ht="15" customHeight="1" x14ac:dyDescent="0.25">
      <c r="A181" s="543"/>
      <c r="B181" s="544" t="s">
        <v>715</v>
      </c>
      <c r="C181" s="513">
        <v>1214</v>
      </c>
      <c r="D181" s="545" t="s">
        <v>713</v>
      </c>
      <c r="E181" s="514" t="s">
        <v>42</v>
      </c>
      <c r="F181" s="546">
        <v>2.085</v>
      </c>
      <c r="G181" s="547">
        <v>12.39</v>
      </c>
      <c r="H181" s="548"/>
      <c r="I181" s="547">
        <f>F181*G181</f>
        <v>25.83315</v>
      </c>
      <c r="J181" s="549"/>
      <c r="K181" s="548"/>
      <c r="L181" s="547"/>
      <c r="M181" s="549"/>
      <c r="N181" s="550"/>
      <c r="O181" s="551"/>
    </row>
    <row r="182" spans="1:15" s="552" customFormat="1" ht="15" customHeight="1" x14ac:dyDescent="0.25">
      <c r="A182" s="543"/>
      <c r="B182" s="544" t="s">
        <v>715</v>
      </c>
      <c r="C182" s="513">
        <v>4750</v>
      </c>
      <c r="D182" s="545" t="s">
        <v>714</v>
      </c>
      <c r="E182" s="514" t="s">
        <v>42</v>
      </c>
      <c r="F182" s="546">
        <v>1.4279999999999999</v>
      </c>
      <c r="G182" s="547">
        <v>12.57</v>
      </c>
      <c r="H182" s="548"/>
      <c r="I182" s="547">
        <f t="shared" ref="I182:I183" si="13">F182*G182</f>
        <v>17.949960000000001</v>
      </c>
      <c r="J182" s="549"/>
      <c r="K182" s="548"/>
      <c r="L182" s="547"/>
      <c r="M182" s="549"/>
      <c r="N182" s="550"/>
      <c r="O182" s="551"/>
    </row>
    <row r="183" spans="1:15" s="552" customFormat="1" ht="15" customHeight="1" x14ac:dyDescent="0.25">
      <c r="A183" s="543"/>
      <c r="B183" s="544" t="s">
        <v>658</v>
      </c>
      <c r="C183" s="513">
        <v>6111</v>
      </c>
      <c r="D183" s="545" t="s">
        <v>670</v>
      </c>
      <c r="E183" s="514" t="s">
        <v>42</v>
      </c>
      <c r="F183" s="546">
        <v>3.53</v>
      </c>
      <c r="G183" s="547">
        <v>8.92</v>
      </c>
      <c r="H183" s="548"/>
      <c r="I183" s="547">
        <f t="shared" si="13"/>
        <v>31.487599999999997</v>
      </c>
      <c r="J183" s="549"/>
      <c r="K183" s="548"/>
      <c r="L183" s="547"/>
      <c r="M183" s="549"/>
      <c r="N183" s="550"/>
      <c r="O183" s="551"/>
    </row>
    <row r="184" spans="1:15" s="552" customFormat="1" ht="15" customHeight="1" x14ac:dyDescent="0.25">
      <c r="A184" s="543"/>
      <c r="B184" s="544" t="s">
        <v>664</v>
      </c>
      <c r="C184" s="513">
        <v>88627</v>
      </c>
      <c r="D184" s="545" t="s">
        <v>706</v>
      </c>
      <c r="E184" s="514" t="s">
        <v>233</v>
      </c>
      <c r="F184" s="546">
        <v>1.0200000000000001E-2</v>
      </c>
      <c r="G184" s="547">
        <v>392.17</v>
      </c>
      <c r="H184" s="548">
        <f t="shared" ref="H184:H185" si="14">F184*G184</f>
        <v>4.0001340000000001</v>
      </c>
      <c r="I184" s="547"/>
      <c r="J184" s="549"/>
      <c r="K184" s="548"/>
      <c r="L184" s="547"/>
      <c r="M184" s="549"/>
      <c r="N184" s="550"/>
      <c r="O184" s="551"/>
    </row>
    <row r="185" spans="1:15" s="552" customFormat="1" ht="15" customHeight="1" x14ac:dyDescent="0.25">
      <c r="A185" s="543"/>
      <c r="B185" s="544" t="s">
        <v>657</v>
      </c>
      <c r="C185" s="513">
        <v>183</v>
      </c>
      <c r="D185" s="545" t="s">
        <v>707</v>
      </c>
      <c r="E185" s="514" t="s">
        <v>708</v>
      </c>
      <c r="F185" s="546">
        <v>1</v>
      </c>
      <c r="G185" s="547">
        <v>107.3</v>
      </c>
      <c r="H185" s="548">
        <f t="shared" si="14"/>
        <v>107.3</v>
      </c>
      <c r="I185" s="547"/>
      <c r="J185" s="549"/>
      <c r="K185" s="548"/>
      <c r="L185" s="547"/>
      <c r="M185" s="549"/>
      <c r="N185" s="550"/>
      <c r="O185" s="551"/>
    </row>
    <row r="186" spans="1:15" s="552" customFormat="1" ht="15" customHeight="1" x14ac:dyDescent="0.25">
      <c r="A186" s="543"/>
      <c r="B186" s="544" t="s">
        <v>657</v>
      </c>
      <c r="C186" s="513">
        <v>187</v>
      </c>
      <c r="D186" s="545" t="s">
        <v>711</v>
      </c>
      <c r="E186" s="514" t="s">
        <v>56</v>
      </c>
      <c r="F186" s="546">
        <v>10.199999999999999</v>
      </c>
      <c r="G186" s="547">
        <v>7.85</v>
      </c>
      <c r="H186" s="548">
        <f>F186*G186</f>
        <v>80.069999999999993</v>
      </c>
      <c r="I186" s="547"/>
      <c r="J186" s="549"/>
      <c r="K186" s="548"/>
      <c r="L186" s="547"/>
      <c r="M186" s="549"/>
      <c r="N186" s="550"/>
      <c r="O186" s="551"/>
    </row>
    <row r="187" spans="1:15" s="552" customFormat="1" ht="15" customHeight="1" x14ac:dyDescent="0.25">
      <c r="A187" s="543"/>
      <c r="B187" s="544" t="s">
        <v>658</v>
      </c>
      <c r="C187" s="513">
        <v>4378</v>
      </c>
      <c r="D187" s="545" t="s">
        <v>709</v>
      </c>
      <c r="E187" s="514" t="s">
        <v>41</v>
      </c>
      <c r="F187" s="546">
        <v>6</v>
      </c>
      <c r="G187" s="547">
        <v>0.47</v>
      </c>
      <c r="H187" s="548">
        <f>F187*G187</f>
        <v>2.82</v>
      </c>
      <c r="I187" s="547"/>
      <c r="J187" s="549"/>
      <c r="K187" s="548"/>
      <c r="L187" s="547"/>
      <c r="M187" s="549"/>
      <c r="N187" s="550"/>
      <c r="O187" s="551"/>
    </row>
    <row r="188" spans="1:15" s="552" customFormat="1" ht="15" customHeight="1" x14ac:dyDescent="0.25">
      <c r="A188" s="543"/>
      <c r="B188" s="544" t="s">
        <v>658</v>
      </c>
      <c r="C188" s="513">
        <v>4419</v>
      </c>
      <c r="D188" s="545" t="s">
        <v>710</v>
      </c>
      <c r="E188" s="514" t="s">
        <v>41</v>
      </c>
      <c r="F188" s="546">
        <v>6</v>
      </c>
      <c r="G188" s="547">
        <v>0.66</v>
      </c>
      <c r="H188" s="548">
        <f>F188*G188</f>
        <v>3.96</v>
      </c>
      <c r="I188" s="547"/>
      <c r="J188" s="549"/>
      <c r="K188" s="548"/>
      <c r="L188" s="547"/>
      <c r="M188" s="549"/>
      <c r="N188" s="550"/>
      <c r="O188" s="551"/>
    </row>
    <row r="189" spans="1:15" s="552" customFormat="1" ht="15" customHeight="1" x14ac:dyDescent="0.25">
      <c r="A189" s="543"/>
      <c r="B189" s="544" t="s">
        <v>658</v>
      </c>
      <c r="C189" s="513">
        <v>4987</v>
      </c>
      <c r="D189" s="545" t="s">
        <v>719</v>
      </c>
      <c r="E189" s="514" t="s">
        <v>41</v>
      </c>
      <c r="F189" s="546">
        <v>1</v>
      </c>
      <c r="G189" s="547">
        <v>116.22</v>
      </c>
      <c r="H189" s="548">
        <f t="shared" ref="H189" si="15">F189*G189</f>
        <v>116.22</v>
      </c>
      <c r="I189" s="547"/>
      <c r="J189" s="549"/>
      <c r="K189" s="548"/>
      <c r="L189" s="547"/>
      <c r="M189" s="549"/>
      <c r="N189" s="550"/>
      <c r="O189" s="551"/>
    </row>
    <row r="190" spans="1:15" s="552" customFormat="1" ht="15" customHeight="1" x14ac:dyDescent="0.25">
      <c r="A190" s="543"/>
      <c r="B190" s="544" t="s">
        <v>80</v>
      </c>
      <c r="C190" s="513"/>
      <c r="D190" s="545" t="s">
        <v>722</v>
      </c>
      <c r="E190" s="514" t="s">
        <v>41</v>
      </c>
      <c r="F190" s="546">
        <v>1</v>
      </c>
      <c r="G190" s="547">
        <v>17.34</v>
      </c>
      <c r="H190" s="548">
        <f>F190*G190</f>
        <v>17.34</v>
      </c>
      <c r="I190" s="547"/>
      <c r="J190" s="549"/>
      <c r="K190" s="548"/>
      <c r="L190" s="547"/>
      <c r="M190" s="549"/>
      <c r="N190" s="550"/>
      <c r="O190" s="551"/>
    </row>
    <row r="191" spans="1:15" s="552" customFormat="1" ht="15" customHeight="1" x14ac:dyDescent="0.25">
      <c r="A191" s="543"/>
      <c r="B191" s="544" t="s">
        <v>658</v>
      </c>
      <c r="C191" s="513">
        <v>20247</v>
      </c>
      <c r="D191" s="545" t="s">
        <v>712</v>
      </c>
      <c r="E191" s="514" t="s">
        <v>694</v>
      </c>
      <c r="F191" s="546">
        <v>0.61199999999999999</v>
      </c>
      <c r="G191" s="547">
        <v>7.52</v>
      </c>
      <c r="H191" s="548">
        <f t="shared" ref="H191" si="16">F191*G191</f>
        <v>4.6022399999999992</v>
      </c>
      <c r="I191" s="547"/>
      <c r="J191" s="549"/>
      <c r="K191" s="548"/>
      <c r="L191" s="547"/>
      <c r="M191" s="549"/>
      <c r="N191" s="550"/>
      <c r="O191" s="551"/>
    </row>
    <row r="192" spans="1:15" s="23" customFormat="1" ht="14.25" x14ac:dyDescent="0.2">
      <c r="A192" s="134"/>
      <c r="B192" s="129"/>
      <c r="C192" s="29"/>
      <c r="D192" s="117" t="s">
        <v>83</v>
      </c>
      <c r="E192" s="30"/>
      <c r="F192" s="118"/>
      <c r="G192" s="31"/>
      <c r="H192" s="104"/>
      <c r="I192" s="27"/>
      <c r="J192" s="105"/>
      <c r="K192" s="104"/>
      <c r="L192" s="27"/>
      <c r="M192" s="105"/>
      <c r="N192" s="92"/>
      <c r="O192" s="92"/>
    </row>
    <row r="193" spans="1:15" s="23" customFormat="1" ht="45" x14ac:dyDescent="0.2">
      <c r="A193" s="223" t="s">
        <v>78</v>
      </c>
      <c r="B193" s="224" t="s">
        <v>718</v>
      </c>
      <c r="C193" s="225" t="s">
        <v>320</v>
      </c>
      <c r="D193" s="226" t="s">
        <v>297</v>
      </c>
      <c r="E193" s="225" t="s">
        <v>81</v>
      </c>
      <c r="F193" s="515">
        <f>'MEMÓRIA DE CÁLCULO'!D69</f>
        <v>1</v>
      </c>
      <c r="G193" s="228"/>
      <c r="H193" s="229">
        <f>ROUND(SUM(H194:H204),2)</f>
        <v>453.3</v>
      </c>
      <c r="I193" s="229">
        <f>ROUND(SUM(I194:I205),2)</f>
        <v>75.27</v>
      </c>
      <c r="J193" s="231">
        <f>(H193+I193)</f>
        <v>528.57000000000005</v>
      </c>
      <c r="K193" s="229">
        <f>F193*H193</f>
        <v>453.3</v>
      </c>
      <c r="L193" s="230">
        <f>F193*I193</f>
        <v>75.27</v>
      </c>
      <c r="M193" s="231">
        <f>K193+L193</f>
        <v>528.57000000000005</v>
      </c>
      <c r="N193" s="227">
        <f>M193*$N$7</f>
        <v>143.13675600000002</v>
      </c>
      <c r="O193" s="227">
        <f>M193+N193</f>
        <v>671.70675600000004</v>
      </c>
    </row>
    <row r="194" spans="1:15" s="552" customFormat="1" ht="15" customHeight="1" x14ac:dyDescent="0.25">
      <c r="A194" s="543"/>
      <c r="B194" s="544" t="s">
        <v>715</v>
      </c>
      <c r="C194" s="513">
        <v>1214</v>
      </c>
      <c r="D194" s="545" t="s">
        <v>713</v>
      </c>
      <c r="E194" s="514" t="s">
        <v>42</v>
      </c>
      <c r="F194" s="546">
        <v>2.085</v>
      </c>
      <c r="G194" s="547">
        <v>12.39</v>
      </c>
      <c r="H194" s="548"/>
      <c r="I194" s="547">
        <f>F194*G194</f>
        <v>25.83315</v>
      </c>
      <c r="J194" s="549"/>
      <c r="K194" s="548"/>
      <c r="L194" s="547"/>
      <c r="M194" s="549"/>
      <c r="N194" s="550"/>
      <c r="O194" s="551"/>
    </row>
    <row r="195" spans="1:15" s="552" customFormat="1" ht="15" customHeight="1" x14ac:dyDescent="0.25">
      <c r="A195" s="543"/>
      <c r="B195" s="544" t="s">
        <v>715</v>
      </c>
      <c r="C195" s="513">
        <v>4750</v>
      </c>
      <c r="D195" s="545" t="s">
        <v>714</v>
      </c>
      <c r="E195" s="514" t="s">
        <v>42</v>
      </c>
      <c r="F195" s="546">
        <v>1.4279999999999999</v>
      </c>
      <c r="G195" s="547">
        <v>12.57</v>
      </c>
      <c r="H195" s="548"/>
      <c r="I195" s="547">
        <f t="shared" ref="I195:I196" si="17">F195*G195</f>
        <v>17.949960000000001</v>
      </c>
      <c r="J195" s="549"/>
      <c r="K195" s="548"/>
      <c r="L195" s="547"/>
      <c r="M195" s="549"/>
      <c r="N195" s="550"/>
      <c r="O195" s="551"/>
    </row>
    <row r="196" spans="1:15" s="552" customFormat="1" ht="15" customHeight="1" x14ac:dyDescent="0.25">
      <c r="A196" s="543"/>
      <c r="B196" s="544" t="s">
        <v>658</v>
      </c>
      <c r="C196" s="513">
        <v>6111</v>
      </c>
      <c r="D196" s="545" t="s">
        <v>670</v>
      </c>
      <c r="E196" s="514" t="s">
        <v>42</v>
      </c>
      <c r="F196" s="546">
        <v>3.53</v>
      </c>
      <c r="G196" s="547">
        <v>8.92</v>
      </c>
      <c r="H196" s="548"/>
      <c r="I196" s="547">
        <f t="shared" si="17"/>
        <v>31.487599999999997</v>
      </c>
      <c r="J196" s="549"/>
      <c r="K196" s="548"/>
      <c r="L196" s="547"/>
      <c r="M196" s="549"/>
      <c r="N196" s="550"/>
      <c r="O196" s="551"/>
    </row>
    <row r="197" spans="1:15" s="552" customFormat="1" ht="15" customHeight="1" x14ac:dyDescent="0.25">
      <c r="A197" s="543"/>
      <c r="B197" s="544" t="s">
        <v>664</v>
      </c>
      <c r="C197" s="513">
        <v>88627</v>
      </c>
      <c r="D197" s="545" t="s">
        <v>706</v>
      </c>
      <c r="E197" s="514" t="s">
        <v>233</v>
      </c>
      <c r="F197" s="546">
        <v>1.0200000000000001E-2</v>
      </c>
      <c r="G197" s="547">
        <v>392.17</v>
      </c>
      <c r="H197" s="548">
        <f t="shared" ref="H197:H198" si="18">F197*G197</f>
        <v>4.0001340000000001</v>
      </c>
      <c r="I197" s="547"/>
      <c r="J197" s="549"/>
      <c r="K197" s="548"/>
      <c r="L197" s="547"/>
      <c r="M197" s="549"/>
      <c r="N197" s="550"/>
      <c r="O197" s="551"/>
    </row>
    <row r="198" spans="1:15" s="552" customFormat="1" ht="15" customHeight="1" x14ac:dyDescent="0.25">
      <c r="A198" s="543"/>
      <c r="B198" s="544" t="s">
        <v>657</v>
      </c>
      <c r="C198" s="513">
        <v>183</v>
      </c>
      <c r="D198" s="545" t="s">
        <v>707</v>
      </c>
      <c r="E198" s="514" t="s">
        <v>708</v>
      </c>
      <c r="F198" s="546">
        <v>1</v>
      </c>
      <c r="G198" s="547">
        <v>107.3</v>
      </c>
      <c r="H198" s="548">
        <f t="shared" si="18"/>
        <v>107.3</v>
      </c>
      <c r="I198" s="547"/>
      <c r="J198" s="549"/>
      <c r="K198" s="548"/>
      <c r="L198" s="547"/>
      <c r="M198" s="549"/>
      <c r="N198" s="550"/>
      <c r="O198" s="551"/>
    </row>
    <row r="199" spans="1:15" s="552" customFormat="1" ht="15" customHeight="1" x14ac:dyDescent="0.25">
      <c r="A199" s="543"/>
      <c r="B199" s="544" t="s">
        <v>657</v>
      </c>
      <c r="C199" s="513">
        <v>187</v>
      </c>
      <c r="D199" s="545" t="s">
        <v>711</v>
      </c>
      <c r="E199" s="514" t="s">
        <v>56</v>
      </c>
      <c r="F199" s="546">
        <v>10.199999999999999</v>
      </c>
      <c r="G199" s="547">
        <v>7.85</v>
      </c>
      <c r="H199" s="548">
        <f>F199*G199</f>
        <v>80.069999999999993</v>
      </c>
      <c r="I199" s="547"/>
      <c r="J199" s="549"/>
      <c r="K199" s="548"/>
      <c r="L199" s="547"/>
      <c r="M199" s="549"/>
      <c r="N199" s="550"/>
      <c r="O199" s="551"/>
    </row>
    <row r="200" spans="1:15" s="552" customFormat="1" ht="15" customHeight="1" x14ac:dyDescent="0.25">
      <c r="A200" s="543"/>
      <c r="B200" s="544" t="s">
        <v>658</v>
      </c>
      <c r="C200" s="513">
        <v>4378</v>
      </c>
      <c r="D200" s="545" t="s">
        <v>709</v>
      </c>
      <c r="E200" s="514" t="s">
        <v>41</v>
      </c>
      <c r="F200" s="546">
        <v>6</v>
      </c>
      <c r="G200" s="547">
        <v>0.47</v>
      </c>
      <c r="H200" s="548">
        <f>F200*G200</f>
        <v>2.82</v>
      </c>
      <c r="I200" s="547"/>
      <c r="J200" s="549"/>
      <c r="K200" s="548"/>
      <c r="L200" s="547"/>
      <c r="M200" s="549"/>
      <c r="N200" s="550"/>
      <c r="O200" s="551"/>
    </row>
    <row r="201" spans="1:15" s="552" customFormat="1" ht="15" customHeight="1" x14ac:dyDescent="0.25">
      <c r="A201" s="543"/>
      <c r="B201" s="544" t="s">
        <v>658</v>
      </c>
      <c r="C201" s="513">
        <v>4419</v>
      </c>
      <c r="D201" s="545" t="s">
        <v>710</v>
      </c>
      <c r="E201" s="514" t="s">
        <v>41</v>
      </c>
      <c r="F201" s="546">
        <v>6</v>
      </c>
      <c r="G201" s="547">
        <v>0.66</v>
      </c>
      <c r="H201" s="548">
        <f>F201*G201</f>
        <v>3.96</v>
      </c>
      <c r="I201" s="547"/>
      <c r="J201" s="549"/>
      <c r="K201" s="548"/>
      <c r="L201" s="547"/>
      <c r="M201" s="549"/>
      <c r="N201" s="550"/>
      <c r="O201" s="551"/>
    </row>
    <row r="202" spans="1:15" s="552" customFormat="1" ht="15" customHeight="1" x14ac:dyDescent="0.25">
      <c r="A202" s="543"/>
      <c r="B202" s="544" t="s">
        <v>658</v>
      </c>
      <c r="C202" s="513">
        <v>4989</v>
      </c>
      <c r="D202" s="545" t="s">
        <v>723</v>
      </c>
      <c r="E202" s="514" t="s">
        <v>41</v>
      </c>
      <c r="F202" s="546">
        <v>1</v>
      </c>
      <c r="G202" s="547">
        <v>131.66</v>
      </c>
      <c r="H202" s="548">
        <f t="shared" ref="H202" si="19">F202*G202</f>
        <v>131.66</v>
      </c>
      <c r="I202" s="547"/>
      <c r="J202" s="549"/>
      <c r="K202" s="548"/>
      <c r="L202" s="547"/>
      <c r="M202" s="549"/>
      <c r="N202" s="550"/>
      <c r="O202" s="551"/>
    </row>
    <row r="203" spans="1:15" s="552" customFormat="1" ht="15" customHeight="1" x14ac:dyDescent="0.25">
      <c r="A203" s="543"/>
      <c r="B203" s="544" t="s">
        <v>80</v>
      </c>
      <c r="C203" s="513"/>
      <c r="D203" s="545" t="s">
        <v>724</v>
      </c>
      <c r="E203" s="514" t="s">
        <v>41</v>
      </c>
      <c r="F203" s="546">
        <v>3</v>
      </c>
      <c r="G203" s="547">
        <v>39.630000000000003</v>
      </c>
      <c r="H203" s="548">
        <f>F203*G203</f>
        <v>118.89000000000001</v>
      </c>
      <c r="I203" s="547"/>
      <c r="J203" s="549"/>
      <c r="K203" s="548"/>
      <c r="L203" s="547"/>
      <c r="M203" s="549"/>
      <c r="N203" s="550"/>
      <c r="O203" s="551"/>
    </row>
    <row r="204" spans="1:15" s="552" customFormat="1" ht="15" customHeight="1" x14ac:dyDescent="0.25">
      <c r="A204" s="543"/>
      <c r="B204" s="544" t="s">
        <v>658</v>
      </c>
      <c r="C204" s="513">
        <v>20247</v>
      </c>
      <c r="D204" s="545" t="s">
        <v>712</v>
      </c>
      <c r="E204" s="514" t="s">
        <v>694</v>
      </c>
      <c r="F204" s="546">
        <v>0.61199999999999999</v>
      </c>
      <c r="G204" s="547">
        <v>7.52</v>
      </c>
      <c r="H204" s="548">
        <f t="shared" ref="H204" si="20">F204*G204</f>
        <v>4.6022399999999992</v>
      </c>
      <c r="I204" s="547"/>
      <c r="J204" s="549"/>
      <c r="K204" s="548"/>
      <c r="L204" s="547"/>
      <c r="M204" s="549"/>
      <c r="N204" s="550"/>
      <c r="O204" s="551"/>
    </row>
    <row r="205" spans="1:15" s="552" customFormat="1" ht="15" customHeight="1" x14ac:dyDescent="0.25">
      <c r="A205" s="543"/>
      <c r="B205" s="544"/>
      <c r="C205" s="513"/>
      <c r="D205" s="545"/>
      <c r="E205" s="514"/>
      <c r="F205" s="546"/>
      <c r="G205" s="547"/>
      <c r="H205" s="548"/>
      <c r="I205" s="547"/>
      <c r="J205" s="549"/>
      <c r="K205" s="548"/>
      <c r="L205" s="547"/>
      <c r="M205" s="549"/>
      <c r="N205" s="550"/>
      <c r="O205" s="551"/>
    </row>
    <row r="206" spans="1:15" s="23" customFormat="1" ht="45" x14ac:dyDescent="0.2">
      <c r="A206" s="223" t="s">
        <v>78</v>
      </c>
      <c r="B206" s="224" t="s">
        <v>725</v>
      </c>
      <c r="C206" s="225" t="s">
        <v>321</v>
      </c>
      <c r="D206" s="226" t="s">
        <v>216</v>
      </c>
      <c r="E206" s="225" t="s">
        <v>81</v>
      </c>
      <c r="F206" s="515">
        <f>'MEMÓRIA DE CÁLCULO'!D69</f>
        <v>1</v>
      </c>
      <c r="G206" s="228"/>
      <c r="H206" s="229">
        <f>ROUND(SUM(H207:H217),2)</f>
        <v>823.17</v>
      </c>
      <c r="I206" s="229">
        <f>ROUND(SUM(I207:I218),2)</f>
        <v>79.16</v>
      </c>
      <c r="J206" s="231">
        <f>(H206+I206)</f>
        <v>902.32999999999993</v>
      </c>
      <c r="K206" s="229">
        <f>F206*H206</f>
        <v>823.17</v>
      </c>
      <c r="L206" s="230">
        <f>F206*I206</f>
        <v>79.16</v>
      </c>
      <c r="M206" s="231">
        <f>K206+L206</f>
        <v>902.32999999999993</v>
      </c>
      <c r="N206" s="227">
        <f>M206*$N$7</f>
        <v>244.35096399999998</v>
      </c>
      <c r="O206" s="227">
        <f>M206+N206</f>
        <v>1146.6809639999999</v>
      </c>
    </row>
    <row r="207" spans="1:15" s="552" customFormat="1" ht="15" customHeight="1" x14ac:dyDescent="0.25">
      <c r="A207" s="543"/>
      <c r="B207" s="544" t="s">
        <v>715</v>
      </c>
      <c r="C207" s="513">
        <v>1214</v>
      </c>
      <c r="D207" s="545" t="s">
        <v>713</v>
      </c>
      <c r="E207" s="514" t="s">
        <v>42</v>
      </c>
      <c r="F207" s="546">
        <v>2.19</v>
      </c>
      <c r="G207" s="547">
        <v>12.39</v>
      </c>
      <c r="H207" s="548"/>
      <c r="I207" s="547">
        <f>F207*G207</f>
        <v>27.1341</v>
      </c>
      <c r="J207" s="549"/>
      <c r="K207" s="548"/>
      <c r="L207" s="547"/>
      <c r="M207" s="549"/>
      <c r="N207" s="550"/>
      <c r="O207" s="551"/>
    </row>
    <row r="208" spans="1:15" s="552" customFormat="1" ht="15" customHeight="1" x14ac:dyDescent="0.25">
      <c r="A208" s="543"/>
      <c r="B208" s="544" t="s">
        <v>715</v>
      </c>
      <c r="C208" s="513">
        <v>4750</v>
      </c>
      <c r="D208" s="545" t="s">
        <v>714</v>
      </c>
      <c r="E208" s="514" t="s">
        <v>42</v>
      </c>
      <c r="F208" s="546">
        <v>1.512</v>
      </c>
      <c r="G208" s="547">
        <v>12.57</v>
      </c>
      <c r="H208" s="548"/>
      <c r="I208" s="547">
        <f t="shared" ref="I208:I209" si="21">F208*G208</f>
        <v>19.005839999999999</v>
      </c>
      <c r="J208" s="549"/>
      <c r="K208" s="548"/>
      <c r="L208" s="547"/>
      <c r="M208" s="549"/>
      <c r="N208" s="550"/>
      <c r="O208" s="551"/>
    </row>
    <row r="209" spans="1:15" s="552" customFormat="1" ht="15" customHeight="1" x14ac:dyDescent="0.25">
      <c r="A209" s="543"/>
      <c r="B209" s="544" t="s">
        <v>658</v>
      </c>
      <c r="C209" s="513">
        <v>6111</v>
      </c>
      <c r="D209" s="545" t="s">
        <v>670</v>
      </c>
      <c r="E209" s="514" t="s">
        <v>42</v>
      </c>
      <c r="F209" s="546">
        <v>3.702</v>
      </c>
      <c r="G209" s="547">
        <v>8.92</v>
      </c>
      <c r="H209" s="548"/>
      <c r="I209" s="547">
        <f t="shared" si="21"/>
        <v>33.021839999999997</v>
      </c>
      <c r="J209" s="549"/>
      <c r="K209" s="548"/>
      <c r="L209" s="547"/>
      <c r="M209" s="549"/>
      <c r="N209" s="550"/>
      <c r="O209" s="551"/>
    </row>
    <row r="210" spans="1:15" s="552" customFormat="1" ht="15" customHeight="1" x14ac:dyDescent="0.25">
      <c r="A210" s="543"/>
      <c r="B210" s="544" t="s">
        <v>664</v>
      </c>
      <c r="C210" s="513">
        <v>88627</v>
      </c>
      <c r="D210" s="545" t="s">
        <v>706</v>
      </c>
      <c r="E210" s="514" t="s">
        <v>233</v>
      </c>
      <c r="F210" s="546">
        <v>1.0800000000000001E-2</v>
      </c>
      <c r="G210" s="547">
        <v>392.17</v>
      </c>
      <c r="H210" s="548">
        <f t="shared" ref="H210:H211" si="22">F210*G210</f>
        <v>4.235436</v>
      </c>
      <c r="I210" s="547"/>
      <c r="J210" s="549"/>
      <c r="K210" s="548"/>
      <c r="L210" s="547"/>
      <c r="M210" s="549"/>
      <c r="N210" s="550"/>
      <c r="O210" s="551"/>
    </row>
    <row r="211" spans="1:15" s="552" customFormat="1" ht="18" customHeight="1" x14ac:dyDescent="0.25">
      <c r="A211" s="543"/>
      <c r="B211" s="544" t="s">
        <v>657</v>
      </c>
      <c r="C211" s="513">
        <v>183</v>
      </c>
      <c r="D211" s="545" t="s">
        <v>707</v>
      </c>
      <c r="E211" s="514" t="s">
        <v>708</v>
      </c>
      <c r="F211" s="546">
        <v>2</v>
      </c>
      <c r="G211" s="547">
        <v>107.3</v>
      </c>
      <c r="H211" s="548">
        <f t="shared" si="22"/>
        <v>214.6</v>
      </c>
      <c r="I211" s="547"/>
      <c r="J211" s="549"/>
      <c r="K211" s="548"/>
      <c r="L211" s="547"/>
      <c r="M211" s="549"/>
      <c r="N211" s="550"/>
      <c r="O211" s="551"/>
    </row>
    <row r="212" spans="1:15" s="552" customFormat="1" ht="15" customHeight="1" x14ac:dyDescent="0.25">
      <c r="A212" s="543"/>
      <c r="B212" s="544" t="s">
        <v>657</v>
      </c>
      <c r="C212" s="513">
        <v>187</v>
      </c>
      <c r="D212" s="545" t="s">
        <v>711</v>
      </c>
      <c r="E212" s="514" t="s">
        <v>56</v>
      </c>
      <c r="F212" s="546">
        <v>15.6</v>
      </c>
      <c r="G212" s="547">
        <v>7.85</v>
      </c>
      <c r="H212" s="548">
        <f>F212*G212</f>
        <v>122.46</v>
      </c>
      <c r="I212" s="547"/>
      <c r="J212" s="549"/>
      <c r="K212" s="548"/>
      <c r="L212" s="547"/>
      <c r="M212" s="549"/>
      <c r="N212" s="550"/>
      <c r="O212" s="551"/>
    </row>
    <row r="213" spans="1:15" s="552" customFormat="1" ht="15" customHeight="1" x14ac:dyDescent="0.25">
      <c r="A213" s="543"/>
      <c r="B213" s="544" t="s">
        <v>658</v>
      </c>
      <c r="C213" s="513">
        <v>4378</v>
      </c>
      <c r="D213" s="545" t="s">
        <v>709</v>
      </c>
      <c r="E213" s="514" t="s">
        <v>41</v>
      </c>
      <c r="F213" s="546">
        <v>6</v>
      </c>
      <c r="G213" s="547">
        <v>0.47</v>
      </c>
      <c r="H213" s="548">
        <f>F213*G213</f>
        <v>2.82</v>
      </c>
      <c r="I213" s="547"/>
      <c r="J213" s="549"/>
      <c r="K213" s="548"/>
      <c r="L213" s="547"/>
      <c r="M213" s="549"/>
      <c r="N213" s="550"/>
      <c r="O213" s="551"/>
    </row>
    <row r="214" spans="1:15" s="552" customFormat="1" ht="15" customHeight="1" x14ac:dyDescent="0.25">
      <c r="A214" s="543"/>
      <c r="B214" s="544" t="s">
        <v>658</v>
      </c>
      <c r="C214" s="513">
        <v>4419</v>
      </c>
      <c r="D214" s="545" t="s">
        <v>710</v>
      </c>
      <c r="E214" s="514" t="s">
        <v>41</v>
      </c>
      <c r="F214" s="546">
        <v>6</v>
      </c>
      <c r="G214" s="547">
        <v>0.66</v>
      </c>
      <c r="H214" s="548">
        <f>F214*G214</f>
        <v>3.96</v>
      </c>
      <c r="I214" s="547"/>
      <c r="J214" s="549"/>
      <c r="K214" s="548"/>
      <c r="L214" s="547"/>
      <c r="M214" s="549"/>
      <c r="N214" s="550"/>
      <c r="O214" s="551"/>
    </row>
    <row r="215" spans="1:15" s="552" customFormat="1" ht="15" customHeight="1" x14ac:dyDescent="0.25">
      <c r="A215" s="543"/>
      <c r="B215" s="544" t="s">
        <v>658</v>
      </c>
      <c r="C215" s="513">
        <v>4987</v>
      </c>
      <c r="D215" s="545" t="s">
        <v>719</v>
      </c>
      <c r="E215" s="514" t="s">
        <v>41</v>
      </c>
      <c r="F215" s="546">
        <v>2</v>
      </c>
      <c r="G215" s="547">
        <v>116.22</v>
      </c>
      <c r="H215" s="548">
        <f t="shared" ref="H215" si="23">F215*G215</f>
        <v>232.44</v>
      </c>
      <c r="I215" s="547"/>
      <c r="J215" s="549"/>
      <c r="K215" s="548"/>
      <c r="L215" s="547"/>
      <c r="M215" s="549"/>
      <c r="N215" s="550"/>
      <c r="O215" s="551"/>
    </row>
    <row r="216" spans="1:15" s="552" customFormat="1" ht="15" customHeight="1" x14ac:dyDescent="0.25">
      <c r="A216" s="543"/>
      <c r="B216" s="544" t="s">
        <v>658</v>
      </c>
      <c r="C216" s="513">
        <v>11447</v>
      </c>
      <c r="D216" s="545" t="s">
        <v>720</v>
      </c>
      <c r="E216" s="514" t="s">
        <v>41</v>
      </c>
      <c r="F216" s="546">
        <v>6</v>
      </c>
      <c r="G216" s="547">
        <v>39.630000000000003</v>
      </c>
      <c r="H216" s="548">
        <f>F216*G216</f>
        <v>237.78000000000003</v>
      </c>
      <c r="I216" s="547"/>
      <c r="J216" s="549"/>
      <c r="K216" s="548"/>
      <c r="L216" s="547"/>
      <c r="M216" s="549"/>
      <c r="N216" s="550"/>
      <c r="O216" s="551"/>
    </row>
    <row r="217" spans="1:15" s="552" customFormat="1" ht="15" customHeight="1" x14ac:dyDescent="0.25">
      <c r="A217" s="543"/>
      <c r="B217" s="544" t="s">
        <v>658</v>
      </c>
      <c r="C217" s="513">
        <v>20247</v>
      </c>
      <c r="D217" s="545" t="s">
        <v>712</v>
      </c>
      <c r="E217" s="514" t="s">
        <v>694</v>
      </c>
      <c r="F217" s="546">
        <v>0.64800000000000002</v>
      </c>
      <c r="G217" s="547">
        <v>7.52</v>
      </c>
      <c r="H217" s="548">
        <f t="shared" ref="H217" si="24">F217*G217</f>
        <v>4.87296</v>
      </c>
      <c r="I217" s="547"/>
      <c r="J217" s="549"/>
      <c r="K217" s="548"/>
      <c r="L217" s="547"/>
      <c r="M217" s="549"/>
      <c r="N217" s="550"/>
      <c r="O217" s="551"/>
    </row>
    <row r="218" spans="1:15" s="552" customFormat="1" ht="15" customHeight="1" x14ac:dyDescent="0.25">
      <c r="A218" s="543"/>
      <c r="B218" s="544"/>
      <c r="C218" s="513"/>
      <c r="D218" s="545"/>
      <c r="E218" s="514"/>
      <c r="F218" s="546"/>
      <c r="G218" s="547"/>
      <c r="H218" s="548"/>
      <c r="I218" s="547"/>
      <c r="J218" s="549"/>
      <c r="K218" s="548"/>
      <c r="L218" s="547"/>
      <c r="M218" s="549"/>
      <c r="N218" s="550"/>
      <c r="O218" s="551"/>
    </row>
    <row r="219" spans="1:15" s="23" customFormat="1" ht="45" x14ac:dyDescent="0.2">
      <c r="A219" s="223" t="s">
        <v>78</v>
      </c>
      <c r="B219" s="224" t="s">
        <v>726</v>
      </c>
      <c r="C219" s="225" t="s">
        <v>322</v>
      </c>
      <c r="D219" s="226" t="s">
        <v>298</v>
      </c>
      <c r="E219" s="225" t="s">
        <v>81</v>
      </c>
      <c r="F219" s="515">
        <f>'MEMÓRIA DE CÁLCULO'!D70</f>
        <v>2</v>
      </c>
      <c r="G219" s="228"/>
      <c r="H219" s="229">
        <f>ROUND(SUM(H220:H225),2)</f>
        <v>88.67</v>
      </c>
      <c r="I219" s="229">
        <f>ROUND(SUM(I220:I225),2)</f>
        <v>75.27</v>
      </c>
      <c r="J219" s="231">
        <f>(H219+I219)</f>
        <v>163.94</v>
      </c>
      <c r="K219" s="229">
        <f>F219*H219</f>
        <v>177.34</v>
      </c>
      <c r="L219" s="230">
        <f>F219*I219</f>
        <v>150.54</v>
      </c>
      <c r="M219" s="231">
        <f>K219+L219</f>
        <v>327.88</v>
      </c>
      <c r="N219" s="227">
        <f>M219*$N$7</f>
        <v>88.789903999999993</v>
      </c>
      <c r="O219" s="227">
        <f>M219+N219</f>
        <v>416.66990399999997</v>
      </c>
    </row>
    <row r="220" spans="1:15" s="552" customFormat="1" ht="15" customHeight="1" x14ac:dyDescent="0.25">
      <c r="A220" s="543"/>
      <c r="B220" s="544" t="s">
        <v>715</v>
      </c>
      <c r="C220" s="513">
        <v>1214</v>
      </c>
      <c r="D220" s="545" t="s">
        <v>713</v>
      </c>
      <c r="E220" s="514" t="s">
        <v>42</v>
      </c>
      <c r="F220" s="546">
        <v>2.085</v>
      </c>
      <c r="G220" s="547">
        <v>12.39</v>
      </c>
      <c r="H220" s="548"/>
      <c r="I220" s="547">
        <f>F220*G220</f>
        <v>25.83315</v>
      </c>
      <c r="J220" s="549"/>
      <c r="K220" s="548"/>
      <c r="L220" s="547"/>
      <c r="M220" s="549"/>
      <c r="N220" s="550"/>
      <c r="O220" s="551"/>
    </row>
    <row r="221" spans="1:15" s="552" customFormat="1" ht="15" customHeight="1" x14ac:dyDescent="0.25">
      <c r="A221" s="543"/>
      <c r="B221" s="544" t="s">
        <v>715</v>
      </c>
      <c r="C221" s="513">
        <v>4750</v>
      </c>
      <c r="D221" s="545" t="s">
        <v>714</v>
      </c>
      <c r="E221" s="514" t="s">
        <v>42</v>
      </c>
      <c r="F221" s="546">
        <v>1.4279999999999999</v>
      </c>
      <c r="G221" s="547">
        <v>12.57</v>
      </c>
      <c r="H221" s="548"/>
      <c r="I221" s="547">
        <f t="shared" ref="I221:I222" si="25">F221*G221</f>
        <v>17.949960000000001</v>
      </c>
      <c r="J221" s="549"/>
      <c r="K221" s="548"/>
      <c r="L221" s="547"/>
      <c r="M221" s="549"/>
      <c r="N221" s="550"/>
      <c r="O221" s="551"/>
    </row>
    <row r="222" spans="1:15" s="552" customFormat="1" ht="15" customHeight="1" x14ac:dyDescent="0.25">
      <c r="A222" s="543"/>
      <c r="B222" s="544" t="s">
        <v>658</v>
      </c>
      <c r="C222" s="513">
        <v>6111</v>
      </c>
      <c r="D222" s="545" t="s">
        <v>670</v>
      </c>
      <c r="E222" s="514" t="s">
        <v>42</v>
      </c>
      <c r="F222" s="546">
        <v>3.53</v>
      </c>
      <c r="G222" s="547">
        <v>8.92</v>
      </c>
      <c r="H222" s="548"/>
      <c r="I222" s="547">
        <f t="shared" si="25"/>
        <v>31.487599999999997</v>
      </c>
      <c r="J222" s="549"/>
      <c r="K222" s="548"/>
      <c r="L222" s="547"/>
      <c r="M222" s="549"/>
      <c r="N222" s="550"/>
      <c r="O222" s="551"/>
    </row>
    <row r="223" spans="1:15" s="552" customFormat="1" ht="15" customHeight="1" x14ac:dyDescent="0.25">
      <c r="A223" s="543"/>
      <c r="B223" s="544" t="s">
        <v>664</v>
      </c>
      <c r="C223" s="513">
        <v>88627</v>
      </c>
      <c r="D223" s="545" t="s">
        <v>706</v>
      </c>
      <c r="E223" s="514" t="s">
        <v>233</v>
      </c>
      <c r="F223" s="546">
        <v>1.0200000000000001E-2</v>
      </c>
      <c r="G223" s="547">
        <v>392.17</v>
      </c>
      <c r="H223" s="548">
        <f t="shared" ref="H223" si="26">F223*G223</f>
        <v>4.0001340000000001</v>
      </c>
      <c r="I223" s="547"/>
      <c r="J223" s="549"/>
      <c r="K223" s="548"/>
      <c r="L223" s="547"/>
      <c r="M223" s="549"/>
      <c r="N223" s="550"/>
      <c r="O223" s="551"/>
    </row>
    <row r="224" spans="1:15" s="552" customFormat="1" ht="15" customHeight="1" x14ac:dyDescent="0.25">
      <c r="A224" s="543"/>
      <c r="B224" s="544" t="s">
        <v>657</v>
      </c>
      <c r="C224" s="513">
        <v>187</v>
      </c>
      <c r="D224" s="545" t="s">
        <v>711</v>
      </c>
      <c r="E224" s="514" t="s">
        <v>56</v>
      </c>
      <c r="F224" s="546">
        <v>10.199999999999999</v>
      </c>
      <c r="G224" s="547">
        <v>7.85</v>
      </c>
      <c r="H224" s="548">
        <f>F224*G224</f>
        <v>80.069999999999993</v>
      </c>
      <c r="I224" s="547"/>
      <c r="J224" s="549"/>
      <c r="K224" s="548"/>
      <c r="L224" s="547"/>
      <c r="M224" s="549"/>
      <c r="N224" s="550"/>
      <c r="O224" s="551"/>
    </row>
    <row r="225" spans="1:15" s="552" customFormat="1" ht="15" customHeight="1" x14ac:dyDescent="0.25">
      <c r="A225" s="543"/>
      <c r="B225" s="544" t="s">
        <v>658</v>
      </c>
      <c r="C225" s="513">
        <v>20247</v>
      </c>
      <c r="D225" s="545" t="s">
        <v>712</v>
      </c>
      <c r="E225" s="514" t="s">
        <v>694</v>
      </c>
      <c r="F225" s="546">
        <v>0.61199999999999999</v>
      </c>
      <c r="G225" s="547">
        <v>7.52</v>
      </c>
      <c r="H225" s="548">
        <f t="shared" ref="H225" si="27">F225*G225</f>
        <v>4.6022399999999992</v>
      </c>
      <c r="I225" s="547"/>
      <c r="J225" s="549"/>
      <c r="K225" s="548"/>
      <c r="L225" s="547"/>
      <c r="M225" s="549"/>
      <c r="N225" s="550"/>
      <c r="O225" s="551"/>
    </row>
    <row r="226" spans="1:15" s="23" customFormat="1" ht="14.25" x14ac:dyDescent="0.2">
      <c r="A226" s="134"/>
      <c r="B226" s="129"/>
      <c r="C226" s="29"/>
      <c r="D226" s="117" t="s">
        <v>83</v>
      </c>
      <c r="E226" s="30"/>
      <c r="F226" s="118"/>
      <c r="G226" s="31"/>
      <c r="H226" s="104"/>
      <c r="I226" s="27"/>
      <c r="J226" s="105"/>
      <c r="K226" s="104"/>
      <c r="L226" s="27"/>
      <c r="M226" s="105"/>
      <c r="N226" s="92"/>
      <c r="O226" s="92"/>
    </row>
    <row r="227" spans="1:15" s="23" customFormat="1" ht="33.75" x14ac:dyDescent="0.2">
      <c r="A227" s="223" t="s">
        <v>78</v>
      </c>
      <c r="B227" s="224" t="s">
        <v>716</v>
      </c>
      <c r="C227" s="225" t="s">
        <v>987</v>
      </c>
      <c r="D227" s="226" t="s">
        <v>1065</v>
      </c>
      <c r="E227" s="225" t="s">
        <v>81</v>
      </c>
      <c r="F227" s="515">
        <f>F206+F193+F180+F166+F153</f>
        <v>7</v>
      </c>
      <c r="G227" s="228"/>
      <c r="H227" s="229">
        <f>ROUND(SUM(H228:H230),2)</f>
        <v>72.900000000000006</v>
      </c>
      <c r="I227" s="229">
        <f>ROUND(SUM(I228:I230),2)</f>
        <v>28.39</v>
      </c>
      <c r="J227" s="231">
        <f>(H227+I227)</f>
        <v>101.29</v>
      </c>
      <c r="K227" s="229">
        <f>F227*H227</f>
        <v>510.30000000000007</v>
      </c>
      <c r="L227" s="230">
        <f>F227*I227</f>
        <v>198.73000000000002</v>
      </c>
      <c r="M227" s="231">
        <f>K227+L227</f>
        <v>709.03000000000009</v>
      </c>
      <c r="N227" s="227">
        <f>M227*$N$7</f>
        <v>192.005324</v>
      </c>
      <c r="O227" s="227">
        <f>M227+N227</f>
        <v>901.03532400000006</v>
      </c>
    </row>
    <row r="228" spans="1:15" s="552" customFormat="1" ht="15" customHeight="1" x14ac:dyDescent="0.25">
      <c r="A228" s="543"/>
      <c r="B228" s="544" t="s">
        <v>658</v>
      </c>
      <c r="C228" s="513">
        <v>6117</v>
      </c>
      <c r="D228" s="545" t="s">
        <v>682</v>
      </c>
      <c r="E228" s="514" t="s">
        <v>42</v>
      </c>
      <c r="F228" s="546">
        <v>1.3</v>
      </c>
      <c r="G228" s="547">
        <v>9.4499999999999993</v>
      </c>
      <c r="H228" s="548"/>
      <c r="I228" s="547">
        <f t="shared" ref="I228" si="28">F228*G228</f>
        <v>12.285</v>
      </c>
      <c r="J228" s="549"/>
      <c r="K228" s="548"/>
      <c r="L228" s="547"/>
      <c r="M228" s="549"/>
      <c r="N228" s="550"/>
      <c r="O228" s="551"/>
    </row>
    <row r="229" spans="1:15" s="552" customFormat="1" ht="15" customHeight="1" x14ac:dyDescent="0.25">
      <c r="A229" s="543"/>
      <c r="B229" s="544" t="s">
        <v>715</v>
      </c>
      <c r="C229" s="513">
        <v>1214</v>
      </c>
      <c r="D229" s="545" t="s">
        <v>713</v>
      </c>
      <c r="E229" s="514" t="s">
        <v>42</v>
      </c>
      <c r="F229" s="546">
        <v>1.3</v>
      </c>
      <c r="G229" s="547">
        <v>12.39</v>
      </c>
      <c r="H229" s="548"/>
      <c r="I229" s="547">
        <f>F229*G229</f>
        <v>16.107000000000003</v>
      </c>
      <c r="J229" s="549"/>
      <c r="K229" s="548"/>
      <c r="L229" s="547"/>
      <c r="M229" s="549"/>
      <c r="N229" s="550"/>
      <c r="O229" s="551"/>
    </row>
    <row r="230" spans="1:15" s="552" customFormat="1" ht="15" customHeight="1" x14ac:dyDescent="0.25">
      <c r="A230" s="543"/>
      <c r="B230" s="544"/>
      <c r="C230" s="513" t="s">
        <v>80</v>
      </c>
      <c r="D230" s="545" t="s">
        <v>717</v>
      </c>
      <c r="E230" s="514" t="s">
        <v>41</v>
      </c>
      <c r="F230" s="546">
        <v>1</v>
      </c>
      <c r="G230" s="547">
        <v>72.900000000000006</v>
      </c>
      <c r="H230" s="548">
        <f t="shared" ref="H230" si="29">F230*G230</f>
        <v>72.900000000000006</v>
      </c>
      <c r="I230" s="547"/>
      <c r="J230" s="549"/>
      <c r="K230" s="548"/>
      <c r="L230" s="547"/>
      <c r="M230" s="549"/>
      <c r="N230" s="550"/>
      <c r="O230" s="551"/>
    </row>
    <row r="231" spans="1:15" s="552" customFormat="1" ht="15" customHeight="1" x14ac:dyDescent="0.25">
      <c r="A231" s="543"/>
      <c r="B231" s="544"/>
      <c r="C231" s="513"/>
      <c r="D231" s="545"/>
      <c r="E231" s="514"/>
      <c r="F231" s="546"/>
      <c r="G231" s="547"/>
      <c r="H231" s="548"/>
      <c r="I231" s="547"/>
      <c r="J231" s="549"/>
      <c r="K231" s="548"/>
      <c r="L231" s="547"/>
      <c r="M231" s="549"/>
      <c r="N231" s="550"/>
      <c r="O231" s="551"/>
    </row>
    <row r="232" spans="1:15" s="23" customFormat="1" ht="22.5" x14ac:dyDescent="0.2">
      <c r="A232" s="223" t="s">
        <v>78</v>
      </c>
      <c r="B232" s="224" t="s">
        <v>1057</v>
      </c>
      <c r="C232" s="225" t="s">
        <v>1064</v>
      </c>
      <c r="D232" s="232" t="s">
        <v>1058</v>
      </c>
      <c r="E232" s="225" t="s">
        <v>58</v>
      </c>
      <c r="F232" s="515">
        <v>0.35</v>
      </c>
      <c r="G232" s="228"/>
      <c r="H232" s="229">
        <f>ROUND(SUM(H233:H237),2)</f>
        <v>473.12</v>
      </c>
      <c r="I232" s="229">
        <f>ROUND(SUM(I233:I237),2)</f>
        <v>42.25</v>
      </c>
      <c r="J232" s="231">
        <f>(H232+I232)</f>
        <v>515.37</v>
      </c>
      <c r="K232" s="229">
        <f>F232*H232</f>
        <v>165.59199999999998</v>
      </c>
      <c r="L232" s="230">
        <f>F232*I232</f>
        <v>14.7875</v>
      </c>
      <c r="M232" s="231">
        <f>K232+L232</f>
        <v>180.37949999999998</v>
      </c>
      <c r="N232" s="227">
        <f>M232*$N$7</f>
        <v>48.84676859999999</v>
      </c>
      <c r="O232" s="227">
        <f>M232+N232</f>
        <v>229.22626859999997</v>
      </c>
    </row>
    <row r="233" spans="1:15" s="552" customFormat="1" ht="15" customHeight="1" x14ac:dyDescent="0.25">
      <c r="A233" s="543"/>
      <c r="B233" s="544" t="s">
        <v>664</v>
      </c>
      <c r="C233" s="513">
        <v>88309</v>
      </c>
      <c r="D233" s="545" t="s">
        <v>1061</v>
      </c>
      <c r="E233" s="514" t="s">
        <v>42</v>
      </c>
      <c r="F233" s="546">
        <v>0.5</v>
      </c>
      <c r="G233" s="547">
        <v>12.57</v>
      </c>
      <c r="H233" s="548"/>
      <c r="I233" s="547">
        <f>F233*G233</f>
        <v>6.2850000000000001</v>
      </c>
      <c r="J233" s="549"/>
      <c r="K233" s="548"/>
      <c r="L233" s="547"/>
      <c r="M233" s="549"/>
      <c r="N233" s="550"/>
      <c r="O233" s="551"/>
    </row>
    <row r="234" spans="1:15" s="552" customFormat="1" ht="15" customHeight="1" x14ac:dyDescent="0.25">
      <c r="A234" s="543"/>
      <c r="B234" s="544" t="s">
        <v>664</v>
      </c>
      <c r="C234" s="513">
        <v>88315</v>
      </c>
      <c r="D234" s="545" t="s">
        <v>1062</v>
      </c>
      <c r="E234" s="514" t="s">
        <v>42</v>
      </c>
      <c r="F234" s="546">
        <v>1.3</v>
      </c>
      <c r="G234" s="547">
        <v>12.57</v>
      </c>
      <c r="H234" s="548"/>
      <c r="I234" s="547">
        <f t="shared" ref="I234:I235" si="30">F234*G234</f>
        <v>16.341000000000001</v>
      </c>
      <c r="J234" s="549"/>
      <c r="K234" s="548"/>
      <c r="L234" s="547"/>
      <c r="M234" s="549"/>
      <c r="N234" s="550"/>
      <c r="O234" s="551"/>
    </row>
    <row r="235" spans="1:15" s="552" customFormat="1" ht="15" customHeight="1" x14ac:dyDescent="0.25">
      <c r="A235" s="543"/>
      <c r="B235" s="544" t="s">
        <v>664</v>
      </c>
      <c r="C235" s="513">
        <v>6111</v>
      </c>
      <c r="D235" s="545" t="s">
        <v>1063</v>
      </c>
      <c r="E235" s="514" t="s">
        <v>42</v>
      </c>
      <c r="F235" s="546">
        <v>2.2000000000000002</v>
      </c>
      <c r="G235" s="547">
        <v>8.92</v>
      </c>
      <c r="H235" s="548"/>
      <c r="I235" s="547">
        <f t="shared" si="30"/>
        <v>19.624000000000002</v>
      </c>
      <c r="J235" s="549"/>
      <c r="K235" s="548"/>
      <c r="L235" s="547"/>
      <c r="M235" s="549"/>
      <c r="N235" s="550"/>
      <c r="O235" s="551"/>
    </row>
    <row r="236" spans="1:15" s="552" customFormat="1" ht="26.25" customHeight="1" x14ac:dyDescent="0.25">
      <c r="A236" s="543"/>
      <c r="B236" s="544" t="s">
        <v>664</v>
      </c>
      <c r="C236" s="513">
        <v>88627</v>
      </c>
      <c r="D236" s="545" t="s">
        <v>1059</v>
      </c>
      <c r="E236" s="514" t="s">
        <v>696</v>
      </c>
      <c r="F236" s="546">
        <v>6.0000000000000001E-3</v>
      </c>
      <c r="G236" s="547">
        <v>392.17</v>
      </c>
      <c r="H236" s="548">
        <f>F236*G236</f>
        <v>2.3530200000000003</v>
      </c>
      <c r="I236" s="547"/>
      <c r="J236" s="549"/>
      <c r="K236" s="548"/>
      <c r="L236" s="547"/>
      <c r="M236" s="549"/>
      <c r="N236" s="550"/>
      <c r="O236" s="551"/>
    </row>
    <row r="237" spans="1:15" s="552" customFormat="1" ht="15" customHeight="1" x14ac:dyDescent="0.25">
      <c r="A237" s="543"/>
      <c r="B237" s="544" t="s">
        <v>657</v>
      </c>
      <c r="C237" s="513">
        <v>4914</v>
      </c>
      <c r="D237" s="545" t="s">
        <v>1060</v>
      </c>
      <c r="E237" s="514" t="s">
        <v>94</v>
      </c>
      <c r="F237" s="546">
        <v>1</v>
      </c>
      <c r="G237" s="547">
        <v>470.77</v>
      </c>
      <c r="H237" s="548">
        <f>F237*G237</f>
        <v>470.77</v>
      </c>
      <c r="I237" s="547"/>
      <c r="J237" s="549"/>
      <c r="K237" s="548"/>
      <c r="L237" s="547"/>
      <c r="M237" s="549"/>
      <c r="N237" s="550"/>
      <c r="O237" s="551"/>
    </row>
    <row r="238" spans="1:15" s="552" customFormat="1" ht="15" customHeight="1" x14ac:dyDescent="0.25">
      <c r="A238" s="543"/>
      <c r="B238" s="544"/>
      <c r="C238" s="513"/>
      <c r="D238" s="545"/>
      <c r="E238" s="514"/>
      <c r="F238" s="546"/>
      <c r="G238" s="547"/>
      <c r="H238" s="548"/>
      <c r="I238" s="547"/>
      <c r="J238" s="549"/>
      <c r="K238" s="548"/>
      <c r="L238" s="547"/>
      <c r="M238" s="549"/>
      <c r="N238" s="550"/>
      <c r="O238" s="551"/>
    </row>
    <row r="239" spans="1:15" s="266" customFormat="1" ht="12.75" x14ac:dyDescent="0.2">
      <c r="A239" s="516"/>
      <c r="B239" s="517"/>
      <c r="C239" s="518" t="s">
        <v>180</v>
      </c>
      <c r="D239" s="519" t="s">
        <v>105</v>
      </c>
      <c r="E239" s="520"/>
      <c r="F239" s="519"/>
      <c r="G239" s="520"/>
      <c r="H239" s="521"/>
      <c r="I239" s="522"/>
      <c r="J239" s="523"/>
      <c r="K239" s="521"/>
      <c r="L239" s="522"/>
      <c r="M239" s="523"/>
      <c r="N239" s="524"/>
      <c r="O239" s="525">
        <f>SUM(O241:O243)</f>
        <v>5295.2838119999997</v>
      </c>
    </row>
    <row r="240" spans="1:15" s="23" customFormat="1" ht="14.25" x14ac:dyDescent="0.2">
      <c r="A240" s="134"/>
      <c r="B240" s="129"/>
      <c r="C240" s="29"/>
      <c r="D240" s="117" t="s">
        <v>83</v>
      </c>
      <c r="E240" s="30"/>
      <c r="F240" s="118"/>
      <c r="G240" s="31"/>
      <c r="H240" s="104"/>
      <c r="I240" s="27"/>
      <c r="J240" s="105"/>
      <c r="K240" s="104"/>
      <c r="L240" s="27"/>
      <c r="M240" s="105"/>
      <c r="N240" s="92"/>
      <c r="O240" s="92"/>
    </row>
    <row r="241" spans="1:15" s="23" customFormat="1" ht="48.75" customHeight="1" x14ac:dyDescent="0.2">
      <c r="A241" s="223" t="s">
        <v>79</v>
      </c>
      <c r="B241" s="571">
        <v>21002000003</v>
      </c>
      <c r="C241" s="225" t="s">
        <v>323</v>
      </c>
      <c r="D241" s="226" t="s">
        <v>4</v>
      </c>
      <c r="E241" s="225" t="s">
        <v>94</v>
      </c>
      <c r="F241" s="515">
        <v>66.5</v>
      </c>
      <c r="G241" s="228"/>
      <c r="H241" s="229">
        <f>H242</f>
        <v>62.66</v>
      </c>
      <c r="I241" s="230">
        <v>0</v>
      </c>
      <c r="J241" s="231">
        <f>(H241+I241)</f>
        <v>62.66</v>
      </c>
      <c r="K241" s="229">
        <f>F241*H241</f>
        <v>4166.8899999999994</v>
      </c>
      <c r="L241" s="230">
        <f>F241*I241</f>
        <v>0</v>
      </c>
      <c r="M241" s="231">
        <f>K241+L241</f>
        <v>4166.8899999999994</v>
      </c>
      <c r="N241" s="227">
        <f>M241*$N$7</f>
        <v>1128.3938119999998</v>
      </c>
      <c r="O241" s="227">
        <f>M241+N241</f>
        <v>5295.2838119999997</v>
      </c>
    </row>
    <row r="242" spans="1:15" s="552" customFormat="1" ht="29.25" customHeight="1" x14ac:dyDescent="0.25">
      <c r="A242" s="543"/>
      <c r="B242" s="544"/>
      <c r="C242" s="513"/>
      <c r="D242" s="545" t="str">
        <f>D241</f>
        <v>FORRO DE GESSO ACARTONADO REMOVÍVEL, com película vinílica branca, apoiados em perfis metálicos tipo "T" suspensos por pendurais rígidos (comprimento: 0,65 m / espessura: 9,0 mm / largura: 0,65 m) - instalado, inclusive acabamentos de borda e acessórios.</v>
      </c>
      <c r="E242" s="514" t="s">
        <v>94</v>
      </c>
      <c r="F242" s="546">
        <v>1</v>
      </c>
      <c r="G242" s="547">
        <v>62.66</v>
      </c>
      <c r="H242" s="548">
        <f>F242*G242</f>
        <v>62.66</v>
      </c>
      <c r="I242" s="547" t="s">
        <v>96</v>
      </c>
      <c r="J242" s="549"/>
      <c r="K242" s="548"/>
      <c r="L242" s="547" t="s">
        <v>96</v>
      </c>
      <c r="M242" s="549"/>
      <c r="N242" s="550"/>
      <c r="O242" s="551"/>
    </row>
    <row r="243" spans="1:15" s="23" customFormat="1" ht="14.25" x14ac:dyDescent="0.2">
      <c r="A243" s="134"/>
      <c r="B243" s="129"/>
      <c r="C243" s="29"/>
      <c r="D243" s="117" t="s">
        <v>83</v>
      </c>
      <c r="E243" s="30"/>
      <c r="F243" s="118"/>
      <c r="G243" s="31"/>
      <c r="H243" s="104"/>
      <c r="I243" s="27"/>
      <c r="J243" s="105"/>
      <c r="K243" s="104"/>
      <c r="L243" s="27"/>
      <c r="M243" s="105"/>
      <c r="N243" s="92"/>
      <c r="O243" s="92"/>
    </row>
    <row r="244" spans="1:15" s="266" customFormat="1" ht="12.75" x14ac:dyDescent="0.2">
      <c r="A244" s="516"/>
      <c r="B244" s="517"/>
      <c r="C244" s="518" t="s">
        <v>181</v>
      </c>
      <c r="D244" s="519" t="s">
        <v>106</v>
      </c>
      <c r="E244" s="520"/>
      <c r="F244" s="519"/>
      <c r="G244" s="520"/>
      <c r="H244" s="521"/>
      <c r="I244" s="522"/>
      <c r="J244" s="523"/>
      <c r="K244" s="521"/>
      <c r="L244" s="522"/>
      <c r="M244" s="523"/>
      <c r="N244" s="524"/>
      <c r="O244" s="525">
        <f>SUM(O246:O263)</f>
        <v>25158.759834959994</v>
      </c>
    </row>
    <row r="245" spans="1:15" s="23" customFormat="1" ht="14.25" x14ac:dyDescent="0.2">
      <c r="A245" s="134"/>
      <c r="B245" s="129"/>
      <c r="C245" s="29"/>
      <c r="D245" s="117" t="s">
        <v>83</v>
      </c>
      <c r="E245" s="30"/>
      <c r="F245" s="118"/>
      <c r="G245" s="31"/>
      <c r="H245" s="104"/>
      <c r="I245" s="27"/>
      <c r="J245" s="105"/>
      <c r="K245" s="104"/>
      <c r="L245" s="27"/>
      <c r="M245" s="105"/>
      <c r="N245" s="92"/>
      <c r="O245" s="92"/>
    </row>
    <row r="246" spans="1:15" s="23" customFormat="1" ht="14.25" x14ac:dyDescent="0.2">
      <c r="A246" s="223" t="s">
        <v>79</v>
      </c>
      <c r="B246" s="224">
        <v>10006000009</v>
      </c>
      <c r="C246" s="225" t="s">
        <v>324</v>
      </c>
      <c r="D246" s="226" t="s">
        <v>760</v>
      </c>
      <c r="E246" s="225" t="s">
        <v>27</v>
      </c>
      <c r="F246" s="515">
        <f>'MEMÓRIA DE CÁLCULO'!K31+'MEMÓRIA DE CÁLCULO'!K33+'MEMÓRIA DE CÁLCULO'!K34+'MEMÓRIA DE CÁLCULO'!K36</f>
        <v>201.95999999999998</v>
      </c>
      <c r="G246" s="228"/>
      <c r="H246" s="229">
        <f>ROUND(SUM(H247:H250),2)</f>
        <v>8.2899999999999991</v>
      </c>
      <c r="I246" s="229">
        <f>ROUND(SUM(I247:I250),2)</f>
        <v>2.23</v>
      </c>
      <c r="J246" s="231">
        <f>(H246+I246)</f>
        <v>10.52</v>
      </c>
      <c r="K246" s="229">
        <f>F246*H246</f>
        <v>1674.2483999999997</v>
      </c>
      <c r="L246" s="230">
        <f>F246*I246</f>
        <v>450.37079999999997</v>
      </c>
      <c r="M246" s="231">
        <f>K246+L246</f>
        <v>2124.6191999999996</v>
      </c>
      <c r="N246" s="227">
        <f>M246*$N$7</f>
        <v>575.34687935999989</v>
      </c>
      <c r="O246" s="227">
        <f>M246+N246</f>
        <v>2699.9660793599996</v>
      </c>
    </row>
    <row r="247" spans="1:15" s="552" customFormat="1" ht="15" customHeight="1" x14ac:dyDescent="0.25">
      <c r="A247" s="543"/>
      <c r="B247" s="544" t="s">
        <v>658</v>
      </c>
      <c r="C247" s="513">
        <v>6111</v>
      </c>
      <c r="D247" s="545" t="s">
        <v>670</v>
      </c>
      <c r="E247" s="514" t="s">
        <v>42</v>
      </c>
      <c r="F247" s="546">
        <v>0.25</v>
      </c>
      <c r="G247" s="547">
        <v>8.92</v>
      </c>
      <c r="H247" s="548"/>
      <c r="I247" s="547">
        <f t="shared" ref="I247" si="31">F247*G247</f>
        <v>2.23</v>
      </c>
      <c r="J247" s="549"/>
      <c r="K247" s="548"/>
      <c r="L247" s="547"/>
      <c r="M247" s="549"/>
      <c r="N247" s="550"/>
      <c r="O247" s="551"/>
    </row>
    <row r="248" spans="1:15" s="552" customFormat="1" ht="15" customHeight="1" x14ac:dyDescent="0.25">
      <c r="A248" s="543"/>
      <c r="B248" s="544"/>
      <c r="C248" s="513"/>
      <c r="D248" s="545" t="s">
        <v>761</v>
      </c>
      <c r="E248" s="514" t="s">
        <v>233</v>
      </c>
      <c r="F248" s="546">
        <v>2.2440000000000002E-2</v>
      </c>
      <c r="G248" s="547">
        <v>54.27</v>
      </c>
      <c r="H248" s="548">
        <f>F248*G248</f>
        <v>1.2178188000000001</v>
      </c>
      <c r="I248" s="547"/>
      <c r="J248" s="549"/>
      <c r="K248" s="548"/>
      <c r="L248" s="547"/>
      <c r="M248" s="549"/>
      <c r="N248" s="550"/>
      <c r="O248" s="551"/>
    </row>
    <row r="249" spans="1:15" s="552" customFormat="1" ht="15" customHeight="1" x14ac:dyDescent="0.25">
      <c r="A249" s="543"/>
      <c r="B249" s="544"/>
      <c r="C249" s="513"/>
      <c r="D249" s="545" t="s">
        <v>762</v>
      </c>
      <c r="E249" s="514" t="s">
        <v>48</v>
      </c>
      <c r="F249" s="546">
        <v>7.3</v>
      </c>
      <c r="G249" s="547">
        <v>0.44</v>
      </c>
      <c r="H249" s="548">
        <f>F249*G249</f>
        <v>3.2119999999999997</v>
      </c>
      <c r="I249" s="547"/>
      <c r="J249" s="549"/>
      <c r="K249" s="548"/>
      <c r="L249" s="547"/>
      <c r="M249" s="549"/>
      <c r="N249" s="550"/>
      <c r="O249" s="551"/>
    </row>
    <row r="250" spans="1:15" s="552" customFormat="1" ht="15" customHeight="1" x14ac:dyDescent="0.25">
      <c r="A250" s="543"/>
      <c r="B250" s="544"/>
      <c r="C250" s="513"/>
      <c r="D250" s="545" t="s">
        <v>763</v>
      </c>
      <c r="E250" s="514" t="s">
        <v>234</v>
      </c>
      <c r="F250" s="546">
        <v>0.8</v>
      </c>
      <c r="G250" s="547">
        <v>4.83</v>
      </c>
      <c r="H250" s="548">
        <f>F250*G250</f>
        <v>3.8640000000000003</v>
      </c>
      <c r="I250" s="547"/>
      <c r="J250" s="549"/>
      <c r="K250" s="548"/>
      <c r="L250" s="547"/>
      <c r="M250" s="549"/>
      <c r="N250" s="550"/>
      <c r="O250" s="551"/>
    </row>
    <row r="251" spans="1:15" s="167" customFormat="1" ht="11.25" x14ac:dyDescent="0.2">
      <c r="A251" s="170"/>
      <c r="B251" s="129"/>
      <c r="C251" s="29"/>
      <c r="D251" s="117" t="s">
        <v>83</v>
      </c>
      <c r="E251" s="30"/>
      <c r="F251" s="118"/>
      <c r="G251" s="31"/>
      <c r="H251" s="104"/>
      <c r="I251" s="27"/>
      <c r="J251" s="105"/>
      <c r="K251" s="104"/>
      <c r="L251" s="27"/>
      <c r="M251" s="105"/>
      <c r="N251" s="92"/>
      <c r="O251" s="169"/>
    </row>
    <row r="252" spans="1:15" s="23" customFormat="1" ht="45" x14ac:dyDescent="0.2">
      <c r="A252" s="223" t="s">
        <v>78</v>
      </c>
      <c r="B252" s="224">
        <v>87259</v>
      </c>
      <c r="C252" s="225" t="s">
        <v>325</v>
      </c>
      <c r="D252" s="226" t="s">
        <v>356</v>
      </c>
      <c r="E252" s="225" t="s">
        <v>94</v>
      </c>
      <c r="F252" s="515">
        <f>'MEMÓRIA DE CÁLCULO'!K39</f>
        <v>264.95999999999998</v>
      </c>
      <c r="G252" s="228"/>
      <c r="H252" s="229">
        <f>ROUND(SUM(H253:H257),2)</f>
        <v>59.05</v>
      </c>
      <c r="I252" s="229">
        <f>ROUND(SUM(I253:I257),2)</f>
        <v>6.15</v>
      </c>
      <c r="J252" s="231">
        <f>(H252+I252)</f>
        <v>65.2</v>
      </c>
      <c r="K252" s="229">
        <f>F252*H252</f>
        <v>15645.887999999997</v>
      </c>
      <c r="L252" s="230">
        <f>F252*I252</f>
        <v>1629.5039999999999</v>
      </c>
      <c r="M252" s="231">
        <f>K252+L252</f>
        <v>17275.391999999996</v>
      </c>
      <c r="N252" s="227">
        <f>M252*$N$7</f>
        <v>4678.1761535999985</v>
      </c>
      <c r="O252" s="227">
        <f>M252+N252</f>
        <v>21953.568153599994</v>
      </c>
    </row>
    <row r="253" spans="1:15" s="552" customFormat="1" ht="15" customHeight="1" x14ac:dyDescent="0.25">
      <c r="A253" s="543"/>
      <c r="B253" s="544" t="s">
        <v>715</v>
      </c>
      <c r="C253" s="513">
        <v>4760</v>
      </c>
      <c r="D253" s="545" t="s">
        <v>727</v>
      </c>
      <c r="E253" s="514" t="s">
        <v>42</v>
      </c>
      <c r="F253" s="546">
        <v>0.39</v>
      </c>
      <c r="G253" s="547">
        <v>11.43</v>
      </c>
      <c r="H253" s="548"/>
      <c r="I253" s="547">
        <f>F253*G253</f>
        <v>4.4577</v>
      </c>
      <c r="J253" s="549"/>
      <c r="K253" s="548"/>
      <c r="L253" s="547"/>
      <c r="M253" s="549"/>
      <c r="N253" s="550"/>
      <c r="O253" s="551"/>
    </row>
    <row r="254" spans="1:15" s="552" customFormat="1" ht="15" customHeight="1" x14ac:dyDescent="0.25">
      <c r="A254" s="543"/>
      <c r="B254" s="544" t="s">
        <v>658</v>
      </c>
      <c r="C254" s="513">
        <v>6111</v>
      </c>
      <c r="D254" s="545" t="s">
        <v>670</v>
      </c>
      <c r="E254" s="514" t="s">
        <v>42</v>
      </c>
      <c r="F254" s="546">
        <v>0.19</v>
      </c>
      <c r="G254" s="547">
        <v>8.92</v>
      </c>
      <c r="H254" s="548"/>
      <c r="I254" s="547">
        <f t="shared" ref="I254" si="32">F254*G254</f>
        <v>1.6948000000000001</v>
      </c>
      <c r="J254" s="549"/>
      <c r="K254" s="548"/>
      <c r="L254" s="547"/>
      <c r="M254" s="549"/>
      <c r="N254" s="550"/>
      <c r="O254" s="551"/>
    </row>
    <row r="255" spans="1:15" s="552" customFormat="1" ht="15" customHeight="1" x14ac:dyDescent="0.25">
      <c r="A255" s="543"/>
      <c r="B255" s="544" t="s">
        <v>657</v>
      </c>
      <c r="C255" s="513">
        <v>38195</v>
      </c>
      <c r="D255" s="545" t="s">
        <v>730</v>
      </c>
      <c r="E255" s="514" t="s">
        <v>233</v>
      </c>
      <c r="F255" s="546">
        <v>1.06</v>
      </c>
      <c r="G255" s="547">
        <v>45.99</v>
      </c>
      <c r="H255" s="548">
        <f t="shared" ref="H255" si="33">F255*G255</f>
        <v>48.749400000000001</v>
      </c>
      <c r="I255" s="547"/>
      <c r="J255" s="549"/>
      <c r="K255" s="548"/>
      <c r="L255" s="547"/>
      <c r="M255" s="549"/>
      <c r="N255" s="550"/>
      <c r="O255" s="551"/>
    </row>
    <row r="256" spans="1:15" s="552" customFormat="1" ht="15" customHeight="1" x14ac:dyDescent="0.25">
      <c r="A256" s="543"/>
      <c r="B256" s="544" t="s">
        <v>657</v>
      </c>
      <c r="C256" s="513">
        <v>34357</v>
      </c>
      <c r="D256" s="545" t="s">
        <v>728</v>
      </c>
      <c r="E256" s="514" t="s">
        <v>97</v>
      </c>
      <c r="F256" s="546">
        <v>0.24</v>
      </c>
      <c r="G256" s="547">
        <v>2.69</v>
      </c>
      <c r="H256" s="548">
        <f>F256*G256</f>
        <v>0.64559999999999995</v>
      </c>
      <c r="I256" s="547"/>
      <c r="J256" s="549"/>
      <c r="K256" s="548"/>
      <c r="L256" s="547"/>
      <c r="M256" s="549"/>
      <c r="N256" s="550"/>
      <c r="O256" s="551"/>
    </row>
    <row r="257" spans="1:15" s="552" customFormat="1" ht="15" customHeight="1" x14ac:dyDescent="0.25">
      <c r="A257" s="543"/>
      <c r="B257" s="544" t="s">
        <v>658</v>
      </c>
      <c r="C257" s="513">
        <v>37659</v>
      </c>
      <c r="D257" s="545" t="s">
        <v>729</v>
      </c>
      <c r="E257" s="514" t="s">
        <v>694</v>
      </c>
      <c r="F257" s="546">
        <v>8.6199999999999992</v>
      </c>
      <c r="G257" s="547">
        <v>1.1200000000000001</v>
      </c>
      <c r="H257" s="548">
        <f t="shared" ref="H257" si="34">F257*G257</f>
        <v>9.6544000000000008</v>
      </c>
      <c r="I257" s="547"/>
      <c r="J257" s="549"/>
      <c r="K257" s="548"/>
      <c r="L257" s="547"/>
      <c r="M257" s="549"/>
      <c r="N257" s="550"/>
      <c r="O257" s="551"/>
    </row>
    <row r="258" spans="1:15" s="23" customFormat="1" ht="14.25" x14ac:dyDescent="0.2">
      <c r="A258" s="134"/>
      <c r="B258" s="129"/>
      <c r="C258" s="29"/>
      <c r="D258" s="117" t="s">
        <v>83</v>
      </c>
      <c r="E258" s="30"/>
      <c r="F258" s="118"/>
      <c r="G258" s="31"/>
      <c r="H258" s="104"/>
      <c r="I258" s="27"/>
      <c r="J258" s="105"/>
      <c r="K258" s="104"/>
      <c r="L258" s="27"/>
      <c r="M258" s="105"/>
      <c r="N258" s="92"/>
      <c r="O258" s="92"/>
    </row>
    <row r="259" spans="1:15" s="23" customFormat="1" ht="33.75" x14ac:dyDescent="0.2">
      <c r="A259" s="223" t="s">
        <v>78</v>
      </c>
      <c r="B259" s="224">
        <v>87530</v>
      </c>
      <c r="C259" s="225" t="s">
        <v>1050</v>
      </c>
      <c r="D259" s="226" t="s">
        <v>1056</v>
      </c>
      <c r="E259" s="225" t="s">
        <v>94</v>
      </c>
      <c r="F259" s="473">
        <f>((2.1+2.1+0.8)*0.5*7)+(2*0.5)</f>
        <v>18.5</v>
      </c>
      <c r="G259" s="474"/>
      <c r="H259" s="229">
        <f>ROUND(SUM(H260:H262),2)</f>
        <v>14.06</v>
      </c>
      <c r="I259" s="229">
        <f>ROUND(SUM(I260:I262),2)</f>
        <v>7.43</v>
      </c>
      <c r="J259" s="231">
        <f>(H259+I259)</f>
        <v>21.490000000000002</v>
      </c>
      <c r="K259" s="229">
        <f>F259*H259</f>
        <v>260.11</v>
      </c>
      <c r="L259" s="230">
        <f>F259*I259</f>
        <v>137.45499999999998</v>
      </c>
      <c r="M259" s="231">
        <f>K259+L259</f>
        <v>397.565</v>
      </c>
      <c r="N259" s="227">
        <f>M259*$N$7</f>
        <v>107.660602</v>
      </c>
      <c r="O259" s="227">
        <f>M259+N259</f>
        <v>505.22560199999998</v>
      </c>
    </row>
    <row r="260" spans="1:15" s="552" customFormat="1" ht="21" customHeight="1" x14ac:dyDescent="0.25">
      <c r="A260" s="543"/>
      <c r="B260" s="544" t="s">
        <v>664</v>
      </c>
      <c r="C260" s="513">
        <v>87369</v>
      </c>
      <c r="D260" s="545" t="s">
        <v>791</v>
      </c>
      <c r="E260" s="514" t="s">
        <v>233</v>
      </c>
      <c r="F260" s="546">
        <v>3.7600000000000001E-2</v>
      </c>
      <c r="G260" s="547">
        <v>373.9</v>
      </c>
      <c r="H260" s="548">
        <f t="shared" ref="H260" si="35">F260*G260</f>
        <v>14.05864</v>
      </c>
      <c r="I260" s="547"/>
      <c r="J260" s="549"/>
      <c r="K260" s="548"/>
      <c r="L260" s="547"/>
      <c r="M260" s="549"/>
      <c r="N260" s="550"/>
      <c r="O260" s="551"/>
    </row>
    <row r="261" spans="1:15" s="552" customFormat="1" ht="15" customHeight="1" x14ac:dyDescent="0.25">
      <c r="A261" s="543"/>
      <c r="B261" s="544" t="s">
        <v>715</v>
      </c>
      <c r="C261" s="513">
        <v>4750</v>
      </c>
      <c r="D261" s="545" t="s">
        <v>714</v>
      </c>
      <c r="E261" s="514" t="s">
        <v>42</v>
      </c>
      <c r="F261" s="546">
        <v>0.47</v>
      </c>
      <c r="G261" s="547">
        <v>12.57</v>
      </c>
      <c r="H261" s="548"/>
      <c r="I261" s="547">
        <f>F261*G261</f>
        <v>5.9078999999999997</v>
      </c>
      <c r="J261" s="549"/>
      <c r="K261" s="548"/>
      <c r="L261" s="547"/>
      <c r="M261" s="549"/>
      <c r="N261" s="550"/>
      <c r="O261" s="551"/>
    </row>
    <row r="262" spans="1:15" s="552" customFormat="1" ht="15" customHeight="1" x14ac:dyDescent="0.25">
      <c r="A262" s="543"/>
      <c r="B262" s="544" t="s">
        <v>658</v>
      </c>
      <c r="C262" s="513">
        <v>6111</v>
      </c>
      <c r="D262" s="545" t="s">
        <v>670</v>
      </c>
      <c r="E262" s="514" t="s">
        <v>42</v>
      </c>
      <c r="F262" s="546">
        <v>0.17100000000000001</v>
      </c>
      <c r="G262" s="547">
        <v>8.92</v>
      </c>
      <c r="H262" s="548"/>
      <c r="I262" s="547">
        <f t="shared" ref="I262" si="36">F262*G262</f>
        <v>1.52532</v>
      </c>
      <c r="J262" s="549"/>
      <c r="K262" s="548"/>
      <c r="L262" s="547"/>
      <c r="M262" s="549"/>
      <c r="N262" s="550"/>
      <c r="O262" s="551"/>
    </row>
    <row r="263" spans="1:15" s="23" customFormat="1" ht="14.25" x14ac:dyDescent="0.2">
      <c r="A263" s="134"/>
      <c r="B263" s="129"/>
      <c r="C263" s="29"/>
      <c r="D263" s="117" t="s">
        <v>83</v>
      </c>
      <c r="E263" s="30"/>
      <c r="F263" s="476"/>
      <c r="G263" s="477"/>
      <c r="H263" s="478"/>
      <c r="I263" s="479"/>
      <c r="J263" s="480"/>
      <c r="K263" s="478"/>
      <c r="L263" s="479"/>
      <c r="M263" s="480"/>
      <c r="N263" s="92"/>
      <c r="O263" s="92"/>
    </row>
    <row r="264" spans="1:15" s="266" customFormat="1" ht="12.75" x14ac:dyDescent="0.2">
      <c r="A264" s="516"/>
      <c r="B264" s="517"/>
      <c r="C264" s="518" t="s">
        <v>230</v>
      </c>
      <c r="D264" s="519" t="s">
        <v>327</v>
      </c>
      <c r="E264" s="520"/>
      <c r="F264" s="519"/>
      <c r="G264" s="520"/>
      <c r="H264" s="521"/>
      <c r="I264" s="522"/>
      <c r="J264" s="523"/>
      <c r="K264" s="521"/>
      <c r="L264" s="522"/>
      <c r="M264" s="523"/>
      <c r="N264" s="524"/>
      <c r="O264" s="525">
        <f>SUM(O266:O284)</f>
        <v>6783.4300068000011</v>
      </c>
    </row>
    <row r="265" spans="1:15" s="23" customFormat="1" ht="14.25" x14ac:dyDescent="0.2">
      <c r="A265" s="134"/>
      <c r="B265" s="129"/>
      <c r="C265" s="29"/>
      <c r="D265" s="117" t="s">
        <v>83</v>
      </c>
      <c r="E265" s="30"/>
      <c r="F265" s="118"/>
      <c r="G265" s="31"/>
      <c r="H265" s="104"/>
      <c r="I265" s="27"/>
      <c r="J265" s="105"/>
      <c r="K265" s="104"/>
      <c r="L265" s="27"/>
      <c r="M265" s="105"/>
      <c r="N265" s="92"/>
      <c r="O265" s="92"/>
    </row>
    <row r="266" spans="1:15" s="23" customFormat="1" ht="45" x14ac:dyDescent="0.2">
      <c r="A266" s="223" t="s">
        <v>78</v>
      </c>
      <c r="B266" s="224" t="s">
        <v>82</v>
      </c>
      <c r="C266" s="225" t="s">
        <v>326</v>
      </c>
      <c r="D266" s="226" t="s">
        <v>1054</v>
      </c>
      <c r="E266" s="225" t="s">
        <v>94</v>
      </c>
      <c r="F266" s="515">
        <f>'MEMÓRIA DE CÁLCULO'!F47</f>
        <v>7.1400000000000006</v>
      </c>
      <c r="G266" s="228"/>
      <c r="H266" s="229">
        <f>ROUND(SUM(H267:H270),2)</f>
        <v>26.94</v>
      </c>
      <c r="I266" s="229">
        <f>ROUND(SUM(I267:I270),2)</f>
        <v>24.5</v>
      </c>
      <c r="J266" s="231">
        <f>(H266+I266)</f>
        <v>51.44</v>
      </c>
      <c r="K266" s="229">
        <f>F266*H266</f>
        <v>192.35160000000002</v>
      </c>
      <c r="L266" s="230">
        <f>F266*I266</f>
        <v>174.93</v>
      </c>
      <c r="M266" s="231">
        <f>K266+L266</f>
        <v>367.28160000000003</v>
      </c>
      <c r="N266" s="227">
        <f>M266*$N$7</f>
        <v>99.459857280000008</v>
      </c>
      <c r="O266" s="227">
        <f>M266+N266</f>
        <v>466.74145728000002</v>
      </c>
    </row>
    <row r="267" spans="1:15" s="552" customFormat="1" ht="15" customHeight="1" x14ac:dyDescent="0.25">
      <c r="A267" s="543"/>
      <c r="B267" s="544" t="s">
        <v>664</v>
      </c>
      <c r="C267" s="513">
        <v>87373</v>
      </c>
      <c r="D267" s="545" t="s">
        <v>731</v>
      </c>
      <c r="E267" s="514" t="s">
        <v>732</v>
      </c>
      <c r="F267" s="546">
        <v>1.38E-2</v>
      </c>
      <c r="G267" s="547">
        <v>465.2</v>
      </c>
      <c r="H267" s="548">
        <f t="shared" ref="H267" si="37">F267*G267</f>
        <v>6.4197600000000001</v>
      </c>
      <c r="I267" s="547"/>
      <c r="J267" s="549"/>
      <c r="K267" s="548"/>
      <c r="L267" s="547"/>
      <c r="M267" s="549"/>
      <c r="N267" s="550"/>
      <c r="O267" s="551"/>
    </row>
    <row r="268" spans="1:15" s="552" customFormat="1" ht="15" customHeight="1" x14ac:dyDescent="0.25">
      <c r="A268" s="543"/>
      <c r="B268" s="544" t="s">
        <v>715</v>
      </c>
      <c r="C268" s="513">
        <v>4750</v>
      </c>
      <c r="D268" s="545" t="s">
        <v>714</v>
      </c>
      <c r="E268" s="514" t="s">
        <v>42</v>
      </c>
      <c r="F268" s="546">
        <v>1.1399999999999999</v>
      </c>
      <c r="G268" s="547">
        <v>12.57</v>
      </c>
      <c r="H268" s="548"/>
      <c r="I268" s="547">
        <f>F268*G268</f>
        <v>14.329799999999999</v>
      </c>
      <c r="J268" s="549"/>
      <c r="K268" s="548"/>
      <c r="L268" s="547"/>
      <c r="M268" s="549"/>
      <c r="N268" s="550"/>
      <c r="O268" s="551"/>
    </row>
    <row r="269" spans="1:15" s="552" customFormat="1" ht="15" customHeight="1" x14ac:dyDescent="0.25">
      <c r="A269" s="543"/>
      <c r="B269" s="544" t="s">
        <v>658</v>
      </c>
      <c r="C269" s="513">
        <v>6111</v>
      </c>
      <c r="D269" s="545" t="s">
        <v>670</v>
      </c>
      <c r="E269" s="514" t="s">
        <v>42</v>
      </c>
      <c r="F269" s="546">
        <v>1.1399999999999999</v>
      </c>
      <c r="G269" s="547">
        <v>8.92</v>
      </c>
      <c r="H269" s="548"/>
      <c r="I269" s="547">
        <f t="shared" ref="I269" si="38">F269*G269</f>
        <v>10.168799999999999</v>
      </c>
      <c r="J269" s="549"/>
      <c r="K269" s="548"/>
      <c r="L269" s="547"/>
      <c r="M269" s="549"/>
      <c r="N269" s="550"/>
      <c r="O269" s="551"/>
    </row>
    <row r="270" spans="1:15" s="552" customFormat="1" ht="15" customHeight="1" x14ac:dyDescent="0.25">
      <c r="A270" s="543"/>
      <c r="B270" s="544" t="s">
        <v>657</v>
      </c>
      <c r="C270" s="513">
        <v>7271</v>
      </c>
      <c r="D270" s="545" t="s">
        <v>733</v>
      </c>
      <c r="E270" s="514" t="s">
        <v>81</v>
      </c>
      <c r="F270" s="546">
        <v>54</v>
      </c>
      <c r="G270" s="547">
        <v>0.38</v>
      </c>
      <c r="H270" s="548">
        <f>F270*G270</f>
        <v>20.52</v>
      </c>
      <c r="I270" s="547"/>
      <c r="J270" s="549"/>
      <c r="K270" s="548"/>
      <c r="L270" s="547"/>
      <c r="M270" s="549"/>
      <c r="N270" s="550"/>
      <c r="O270" s="551"/>
    </row>
    <row r="271" spans="1:15" s="167" customFormat="1" ht="11.25" x14ac:dyDescent="0.2">
      <c r="A271" s="170"/>
      <c r="B271" s="129"/>
      <c r="C271" s="29"/>
      <c r="D271" s="117" t="s">
        <v>83</v>
      </c>
      <c r="E271" s="30"/>
      <c r="F271" s="118"/>
      <c r="G271" s="31"/>
      <c r="H271" s="104"/>
      <c r="I271" s="27"/>
      <c r="J271" s="105"/>
      <c r="K271" s="104"/>
      <c r="L271" s="27"/>
      <c r="M271" s="105"/>
      <c r="N271" s="92"/>
      <c r="O271" s="169"/>
    </row>
    <row r="272" spans="1:15" s="23" customFormat="1" ht="14.25" x14ac:dyDescent="0.2">
      <c r="A272" s="223" t="s">
        <v>79</v>
      </c>
      <c r="B272" s="224">
        <v>10006000009</v>
      </c>
      <c r="C272" s="225" t="s">
        <v>328</v>
      </c>
      <c r="D272" s="226" t="s">
        <v>1055</v>
      </c>
      <c r="E272" s="225" t="s">
        <v>27</v>
      </c>
      <c r="F272" s="515">
        <f>'MEMÓRIA DE CÁLCULO'!F39</f>
        <v>65.64500000000001</v>
      </c>
      <c r="G272" s="228"/>
      <c r="H272" s="229">
        <f>ROUND(SUM(H273:H276),2)</f>
        <v>8.2899999999999991</v>
      </c>
      <c r="I272" s="229">
        <f>ROUND(SUM(I273:I276),2)</f>
        <v>2.23</v>
      </c>
      <c r="J272" s="231">
        <f>(H272+I272)</f>
        <v>10.52</v>
      </c>
      <c r="K272" s="229">
        <f>F272*H272</f>
        <v>544.19704999999999</v>
      </c>
      <c r="L272" s="230">
        <f>F272*I272</f>
        <v>146.38835000000003</v>
      </c>
      <c r="M272" s="231">
        <f>K272+L272</f>
        <v>690.58540000000005</v>
      </c>
      <c r="N272" s="227">
        <f>M272*$N$7</f>
        <v>187.01052632</v>
      </c>
      <c r="O272" s="227">
        <f>M272+N272</f>
        <v>877.59592631999999</v>
      </c>
    </row>
    <row r="273" spans="1:15" s="552" customFormat="1" ht="15" customHeight="1" x14ac:dyDescent="0.25">
      <c r="A273" s="543"/>
      <c r="B273" s="544">
        <v>10006000009</v>
      </c>
      <c r="C273" s="513">
        <v>6111</v>
      </c>
      <c r="D273" s="545" t="s">
        <v>670</v>
      </c>
      <c r="E273" s="514" t="s">
        <v>42</v>
      </c>
      <c r="F273" s="546">
        <v>0.25</v>
      </c>
      <c r="G273" s="547">
        <v>8.92</v>
      </c>
      <c r="H273" s="548"/>
      <c r="I273" s="547">
        <f t="shared" ref="I273" si="39">F273*G273</f>
        <v>2.23</v>
      </c>
      <c r="J273" s="549"/>
      <c r="K273" s="548"/>
      <c r="L273" s="547"/>
      <c r="M273" s="549"/>
      <c r="N273" s="550"/>
      <c r="O273" s="551"/>
    </row>
    <row r="274" spans="1:15" s="552" customFormat="1" ht="15" customHeight="1" x14ac:dyDescent="0.25">
      <c r="A274" s="543"/>
      <c r="B274" s="544"/>
      <c r="C274" s="513"/>
      <c r="D274" s="545" t="s">
        <v>761</v>
      </c>
      <c r="E274" s="514" t="s">
        <v>233</v>
      </c>
      <c r="F274" s="546">
        <v>2.2440000000000002E-2</v>
      </c>
      <c r="G274" s="547">
        <v>54.27</v>
      </c>
      <c r="H274" s="548">
        <f>F274*G274</f>
        <v>1.2178188000000001</v>
      </c>
      <c r="I274" s="547"/>
      <c r="J274" s="549"/>
      <c r="K274" s="548"/>
      <c r="L274" s="547"/>
      <c r="M274" s="549"/>
      <c r="N274" s="550"/>
      <c r="O274" s="551"/>
    </row>
    <row r="275" spans="1:15" s="552" customFormat="1" ht="15" customHeight="1" x14ac:dyDescent="0.25">
      <c r="A275" s="543"/>
      <c r="B275" s="544"/>
      <c r="C275" s="513"/>
      <c r="D275" s="545" t="s">
        <v>762</v>
      </c>
      <c r="E275" s="514" t="s">
        <v>48</v>
      </c>
      <c r="F275" s="546">
        <v>7.3</v>
      </c>
      <c r="G275" s="547">
        <v>0.44</v>
      </c>
      <c r="H275" s="548">
        <f>F275*G275</f>
        <v>3.2119999999999997</v>
      </c>
      <c r="I275" s="547"/>
      <c r="J275" s="549"/>
      <c r="K275" s="548"/>
      <c r="L275" s="547"/>
      <c r="M275" s="549"/>
      <c r="N275" s="550"/>
      <c r="O275" s="551"/>
    </row>
    <row r="276" spans="1:15" s="552" customFormat="1" ht="15" customHeight="1" x14ac:dyDescent="0.25">
      <c r="A276" s="543"/>
      <c r="B276" s="544"/>
      <c r="C276" s="513"/>
      <c r="D276" s="545" t="s">
        <v>763</v>
      </c>
      <c r="E276" s="514" t="s">
        <v>234</v>
      </c>
      <c r="F276" s="546">
        <v>0.8</v>
      </c>
      <c r="G276" s="547">
        <v>4.83</v>
      </c>
      <c r="H276" s="548">
        <f>F276*G276</f>
        <v>3.8640000000000003</v>
      </c>
      <c r="I276" s="547"/>
      <c r="J276" s="549"/>
      <c r="K276" s="548"/>
      <c r="L276" s="547"/>
      <c r="M276" s="549"/>
      <c r="N276" s="550"/>
      <c r="O276" s="551"/>
    </row>
    <row r="277" spans="1:15" s="167" customFormat="1" ht="11.25" x14ac:dyDescent="0.2">
      <c r="A277" s="170"/>
      <c r="B277" s="129"/>
      <c r="C277" s="29"/>
      <c r="D277" s="117" t="s">
        <v>83</v>
      </c>
      <c r="E277" s="30"/>
      <c r="F277" s="118"/>
      <c r="G277" s="31"/>
      <c r="H277" s="104"/>
      <c r="I277" s="27"/>
      <c r="J277" s="105"/>
      <c r="K277" s="104"/>
      <c r="L277" s="27"/>
      <c r="M277" s="105"/>
      <c r="N277" s="92"/>
      <c r="O277" s="169"/>
    </row>
    <row r="278" spans="1:15" s="23" customFormat="1" ht="45" x14ac:dyDescent="0.2">
      <c r="A278" s="223" t="s">
        <v>78</v>
      </c>
      <c r="B278" s="224">
        <v>87259</v>
      </c>
      <c r="C278" s="225" t="s">
        <v>329</v>
      </c>
      <c r="D278" s="226" t="s">
        <v>356</v>
      </c>
      <c r="E278" s="225" t="s">
        <v>58</v>
      </c>
      <c r="F278" s="515">
        <f>'MEMÓRIA DE CÁLCULO'!F39</f>
        <v>65.64500000000001</v>
      </c>
      <c r="G278" s="228"/>
      <c r="H278" s="229">
        <f>ROUND(SUM(H279:H283),2)</f>
        <v>59.05</v>
      </c>
      <c r="I278" s="229">
        <f>ROUND(SUM(I279:I283),2)</f>
        <v>6.15</v>
      </c>
      <c r="J278" s="231">
        <f>(H278+I278)</f>
        <v>65.2</v>
      </c>
      <c r="K278" s="229">
        <f>F278*H278</f>
        <v>3876.3372500000005</v>
      </c>
      <c r="L278" s="230">
        <f>F278*I278</f>
        <v>403.7167500000001</v>
      </c>
      <c r="M278" s="231">
        <f>K278+L278</f>
        <v>4280.054000000001</v>
      </c>
      <c r="N278" s="227">
        <f>M278*$N$7</f>
        <v>1159.0386232000003</v>
      </c>
      <c r="O278" s="227">
        <f>M278+N278</f>
        <v>5439.0926232000011</v>
      </c>
    </row>
    <row r="279" spans="1:15" s="552" customFormat="1" ht="15" customHeight="1" x14ac:dyDescent="0.25">
      <c r="A279" s="543"/>
      <c r="B279" s="544" t="s">
        <v>715</v>
      </c>
      <c r="C279" s="513">
        <v>4760</v>
      </c>
      <c r="D279" s="545" t="s">
        <v>727</v>
      </c>
      <c r="E279" s="514" t="s">
        <v>42</v>
      </c>
      <c r="F279" s="546">
        <v>0.39</v>
      </c>
      <c r="G279" s="547">
        <v>11.43</v>
      </c>
      <c r="H279" s="548"/>
      <c r="I279" s="547">
        <f>F279*G279</f>
        <v>4.4577</v>
      </c>
      <c r="J279" s="549"/>
      <c r="K279" s="548"/>
      <c r="L279" s="547"/>
      <c r="M279" s="549"/>
      <c r="N279" s="550"/>
      <c r="O279" s="551"/>
    </row>
    <row r="280" spans="1:15" s="552" customFormat="1" ht="15" customHeight="1" x14ac:dyDescent="0.25">
      <c r="A280" s="543"/>
      <c r="B280" s="544" t="s">
        <v>658</v>
      </c>
      <c r="C280" s="513">
        <v>6111</v>
      </c>
      <c r="D280" s="545" t="s">
        <v>670</v>
      </c>
      <c r="E280" s="514" t="s">
        <v>42</v>
      </c>
      <c r="F280" s="546">
        <v>0.19</v>
      </c>
      <c r="G280" s="547">
        <v>8.92</v>
      </c>
      <c r="H280" s="548"/>
      <c r="I280" s="547">
        <f t="shared" ref="I280" si="40">F280*G280</f>
        <v>1.6948000000000001</v>
      </c>
      <c r="J280" s="549"/>
      <c r="K280" s="548"/>
      <c r="L280" s="547"/>
      <c r="M280" s="549"/>
      <c r="N280" s="550"/>
      <c r="O280" s="551"/>
    </row>
    <row r="281" spans="1:15" s="552" customFormat="1" ht="15" customHeight="1" x14ac:dyDescent="0.25">
      <c r="A281" s="543"/>
      <c r="B281" s="544" t="s">
        <v>657</v>
      </c>
      <c r="C281" s="513">
        <v>38195</v>
      </c>
      <c r="D281" s="545" t="s">
        <v>730</v>
      </c>
      <c r="E281" s="514" t="s">
        <v>233</v>
      </c>
      <c r="F281" s="546">
        <v>1.06</v>
      </c>
      <c r="G281" s="547">
        <v>45.99</v>
      </c>
      <c r="H281" s="548">
        <f t="shared" ref="H281" si="41">F281*G281</f>
        <v>48.749400000000001</v>
      </c>
      <c r="I281" s="547"/>
      <c r="J281" s="549"/>
      <c r="K281" s="548"/>
      <c r="L281" s="547"/>
      <c r="M281" s="549"/>
      <c r="N281" s="550"/>
      <c r="O281" s="551"/>
    </row>
    <row r="282" spans="1:15" s="552" customFormat="1" ht="15" customHeight="1" x14ac:dyDescent="0.25">
      <c r="A282" s="543"/>
      <c r="B282" s="544" t="s">
        <v>657</v>
      </c>
      <c r="C282" s="513">
        <v>34357</v>
      </c>
      <c r="D282" s="545" t="s">
        <v>728</v>
      </c>
      <c r="E282" s="514" t="s">
        <v>97</v>
      </c>
      <c r="F282" s="546">
        <v>0.24</v>
      </c>
      <c r="G282" s="547">
        <v>2.69</v>
      </c>
      <c r="H282" s="548">
        <f>F282*G282</f>
        <v>0.64559999999999995</v>
      </c>
      <c r="I282" s="547"/>
      <c r="J282" s="549"/>
      <c r="K282" s="548"/>
      <c r="L282" s="547"/>
      <c r="M282" s="549"/>
      <c r="N282" s="550"/>
      <c r="O282" s="551"/>
    </row>
    <row r="283" spans="1:15" s="552" customFormat="1" ht="15" customHeight="1" x14ac:dyDescent="0.25">
      <c r="A283" s="543"/>
      <c r="B283" s="544" t="s">
        <v>658</v>
      </c>
      <c r="C283" s="513">
        <v>37659</v>
      </c>
      <c r="D283" s="545" t="s">
        <v>729</v>
      </c>
      <c r="E283" s="514" t="s">
        <v>694</v>
      </c>
      <c r="F283" s="546">
        <v>8.6199999999999992</v>
      </c>
      <c r="G283" s="547">
        <v>1.1200000000000001</v>
      </c>
      <c r="H283" s="548">
        <f t="shared" ref="H283" si="42">F283*G283</f>
        <v>9.6544000000000008</v>
      </c>
      <c r="I283" s="547"/>
      <c r="J283" s="549"/>
      <c r="K283" s="548"/>
      <c r="L283" s="547"/>
      <c r="M283" s="549"/>
      <c r="N283" s="550"/>
      <c r="O283" s="551"/>
    </row>
    <row r="284" spans="1:15" s="23" customFormat="1" ht="14.25" x14ac:dyDescent="0.2">
      <c r="A284" s="134"/>
      <c r="B284" s="129"/>
      <c r="C284" s="29"/>
      <c r="D284" s="117" t="s">
        <v>83</v>
      </c>
      <c r="E284" s="30"/>
      <c r="F284" s="118"/>
      <c r="G284" s="31"/>
      <c r="H284" s="104"/>
      <c r="I284" s="27"/>
      <c r="J284" s="105"/>
      <c r="K284" s="104"/>
      <c r="L284" s="27"/>
      <c r="M284" s="105"/>
      <c r="N284" s="92"/>
      <c r="O284" s="92"/>
    </row>
    <row r="285" spans="1:15" s="266" customFormat="1" ht="12.75" x14ac:dyDescent="0.2">
      <c r="A285" s="516"/>
      <c r="B285" s="517"/>
      <c r="C285" s="518" t="s">
        <v>182</v>
      </c>
      <c r="D285" s="519" t="s">
        <v>503</v>
      </c>
      <c r="E285" s="520"/>
      <c r="F285" s="519"/>
      <c r="G285" s="520"/>
      <c r="H285" s="521"/>
      <c r="I285" s="522"/>
      <c r="J285" s="523"/>
      <c r="K285" s="521"/>
      <c r="L285" s="522"/>
      <c r="M285" s="523"/>
      <c r="N285" s="524"/>
      <c r="O285" s="525">
        <f>SUM(O287:O290)</f>
        <v>592.18263360000003</v>
      </c>
    </row>
    <row r="286" spans="1:15" s="23" customFormat="1" ht="14.25" x14ac:dyDescent="0.2">
      <c r="A286" s="134"/>
      <c r="B286" s="129"/>
      <c r="C286" s="29"/>
      <c r="D286" s="117" t="s">
        <v>83</v>
      </c>
      <c r="E286" s="30"/>
      <c r="F286" s="118"/>
      <c r="G286" s="31"/>
      <c r="H286" s="110"/>
      <c r="I286" s="31"/>
      <c r="J286" s="111"/>
      <c r="K286" s="110"/>
      <c r="L286" s="31"/>
      <c r="M286" s="111"/>
      <c r="N286" s="92"/>
      <c r="O286" s="92"/>
    </row>
    <row r="287" spans="1:15" s="23" customFormat="1" ht="33.75" x14ac:dyDescent="0.2">
      <c r="A287" s="223" t="s">
        <v>79</v>
      </c>
      <c r="B287" s="224" t="s">
        <v>31</v>
      </c>
      <c r="C287" s="225" t="s">
        <v>535</v>
      </c>
      <c r="D287" s="226" t="s">
        <v>299</v>
      </c>
      <c r="E287" s="225" t="s">
        <v>98</v>
      </c>
      <c r="F287" s="515">
        <f>'MEMÓRIA DE CÁLCULO'!F72</f>
        <v>6.2</v>
      </c>
      <c r="G287" s="228"/>
      <c r="H287" s="229">
        <f>ROUND(SUM(H288:H289),2)</f>
        <v>74.44</v>
      </c>
      <c r="I287" s="230">
        <f>ROUND(SUM(I288:I290),2)</f>
        <v>0.72</v>
      </c>
      <c r="J287" s="231">
        <f>(H287+I287)</f>
        <v>75.16</v>
      </c>
      <c r="K287" s="229">
        <f>F287*H287</f>
        <v>461.52800000000002</v>
      </c>
      <c r="L287" s="230">
        <f>F287*I287</f>
        <v>4.4639999999999995</v>
      </c>
      <c r="M287" s="231">
        <f>K287+L287</f>
        <v>465.99200000000002</v>
      </c>
      <c r="N287" s="227">
        <f>M287*$N$7</f>
        <v>126.1906336</v>
      </c>
      <c r="O287" s="227">
        <f>M287+N287</f>
        <v>592.18263360000003</v>
      </c>
    </row>
    <row r="288" spans="1:15" s="552" customFormat="1" ht="20.25" customHeight="1" x14ac:dyDescent="0.25">
      <c r="A288" s="543"/>
      <c r="B288" s="544"/>
      <c r="C288" s="513"/>
      <c r="D288" s="545" t="str">
        <f>D287</f>
        <v>Soleira de granito natural,  cinza andorinha ou similar  - na largura da parede, assentado com argamassa mista de cimento, cal hidratada e areia sem peneirar traço 1:1:4 - PORTAS EXTERNAS</v>
      </c>
      <c r="E288" s="514" t="s">
        <v>98</v>
      </c>
      <c r="F288" s="546">
        <v>1</v>
      </c>
      <c r="G288" s="547">
        <v>72.790000000000006</v>
      </c>
      <c r="H288" s="548">
        <f>F288*G288</f>
        <v>72.790000000000006</v>
      </c>
      <c r="I288" s="547"/>
      <c r="J288" s="549"/>
      <c r="K288" s="548"/>
      <c r="L288" s="547"/>
      <c r="M288" s="549"/>
      <c r="N288" s="550"/>
      <c r="O288" s="551"/>
    </row>
    <row r="289" spans="1:15" s="552" customFormat="1" ht="18.75" customHeight="1" x14ac:dyDescent="0.25">
      <c r="A289" s="543"/>
      <c r="B289" s="544"/>
      <c r="C289" s="513"/>
      <c r="D289" s="545" t="s">
        <v>29</v>
      </c>
      <c r="E289" s="514" t="s">
        <v>97</v>
      </c>
      <c r="F289" s="546">
        <v>6.2500000000000003E-3</v>
      </c>
      <c r="G289" s="547">
        <v>378.2</v>
      </c>
      <c r="H289" s="548">
        <f>F289*G289*0.7</f>
        <v>1.654625</v>
      </c>
      <c r="I289" s="547">
        <f>1.01*F289*G289*0.3</f>
        <v>0.71621625</v>
      </c>
      <c r="J289" s="549"/>
      <c r="K289" s="548"/>
      <c r="L289" s="547"/>
      <c r="M289" s="549"/>
      <c r="N289" s="550"/>
      <c r="O289" s="551"/>
    </row>
    <row r="290" spans="1:15" s="23" customFormat="1" ht="14.25" x14ac:dyDescent="0.2">
      <c r="A290" s="134"/>
      <c r="B290" s="129"/>
      <c r="C290" s="29"/>
      <c r="D290" s="117" t="s">
        <v>83</v>
      </c>
      <c r="E290" s="30"/>
      <c r="F290" s="118"/>
      <c r="G290" s="31"/>
      <c r="H290" s="110"/>
      <c r="I290" s="31"/>
      <c r="J290" s="111"/>
      <c r="K290" s="110"/>
      <c r="L290" s="31"/>
      <c r="M290" s="111"/>
      <c r="N290" s="92"/>
      <c r="O290" s="92"/>
    </row>
    <row r="291" spans="1:15" s="266" customFormat="1" ht="12.75" x14ac:dyDescent="0.2">
      <c r="A291" s="516"/>
      <c r="B291" s="517"/>
      <c r="C291" s="518" t="s">
        <v>183</v>
      </c>
      <c r="D291" s="519" t="s">
        <v>85</v>
      </c>
      <c r="E291" s="520"/>
      <c r="F291" s="519"/>
      <c r="G291" s="520"/>
      <c r="H291" s="521"/>
      <c r="I291" s="522"/>
      <c r="J291" s="523"/>
      <c r="K291" s="521"/>
      <c r="L291" s="522"/>
      <c r="M291" s="523"/>
      <c r="N291" s="524"/>
      <c r="O291" s="525">
        <f>SUM(O293:O458)</f>
        <v>14181.955171199999</v>
      </c>
    </row>
    <row r="292" spans="1:15" s="23" customFormat="1" ht="14.25" x14ac:dyDescent="0.2">
      <c r="A292" s="134"/>
      <c r="B292" s="130"/>
      <c r="C292" s="34"/>
      <c r="D292" s="117" t="s">
        <v>83</v>
      </c>
      <c r="E292" s="30"/>
      <c r="F292" s="30"/>
      <c r="G292" s="31"/>
      <c r="H292" s="104"/>
      <c r="I292" s="27"/>
      <c r="J292" s="105"/>
      <c r="K292" s="31"/>
      <c r="L292" s="31"/>
      <c r="M292" s="111"/>
      <c r="N292" s="92"/>
      <c r="O292" s="92"/>
    </row>
    <row r="293" spans="1:15" s="172" customFormat="1" ht="11.25" x14ac:dyDescent="0.2">
      <c r="A293" s="170"/>
      <c r="B293" s="120"/>
      <c r="C293" s="122"/>
      <c r="D293" s="124" t="s">
        <v>147</v>
      </c>
      <c r="E293" s="122"/>
      <c r="F293" s="90"/>
      <c r="G293" s="116"/>
      <c r="H293" s="102"/>
      <c r="I293" s="35"/>
      <c r="J293" s="103"/>
      <c r="K293" s="102"/>
      <c r="L293" s="35"/>
      <c r="M293" s="103"/>
      <c r="N293" s="90"/>
      <c r="O293" s="171"/>
    </row>
    <row r="294" spans="1:15" s="172" customFormat="1" ht="11.25" x14ac:dyDescent="0.2">
      <c r="A294" s="170"/>
      <c r="B294" s="120"/>
      <c r="C294" s="122"/>
      <c r="D294" s="124"/>
      <c r="E294" s="122"/>
      <c r="F294" s="90"/>
      <c r="G294" s="116"/>
      <c r="H294" s="102"/>
      <c r="I294" s="141"/>
      <c r="J294" s="103"/>
      <c r="K294" s="102"/>
      <c r="L294" s="35"/>
      <c r="M294" s="103"/>
      <c r="N294" s="90"/>
      <c r="O294" s="171"/>
    </row>
    <row r="295" spans="1:15" s="23" customFormat="1" ht="14.25" x14ac:dyDescent="0.2">
      <c r="A295" s="223" t="s">
        <v>39</v>
      </c>
      <c r="B295" s="224" t="s">
        <v>148</v>
      </c>
      <c r="C295" s="225" t="s">
        <v>330</v>
      </c>
      <c r="D295" s="226" t="s">
        <v>198</v>
      </c>
      <c r="E295" s="225" t="s">
        <v>41</v>
      </c>
      <c r="F295" s="515">
        <f>'MEMÓRIA DE CÁLCULO'!O39</f>
        <v>12</v>
      </c>
      <c r="G295" s="228"/>
      <c r="H295" s="229">
        <f>ROUND(SUM(H296:H301),2)</f>
        <v>29.91</v>
      </c>
      <c r="I295" s="230">
        <f>ROUND(SUM(I296:I301),2)</f>
        <v>66.06</v>
      </c>
      <c r="J295" s="231">
        <f>(H295+I295)</f>
        <v>95.97</v>
      </c>
      <c r="K295" s="229">
        <f>F295*H295</f>
        <v>358.92</v>
      </c>
      <c r="L295" s="230">
        <f>F295*I295</f>
        <v>792.72</v>
      </c>
      <c r="M295" s="231">
        <f>K295+L295</f>
        <v>1151.6400000000001</v>
      </c>
      <c r="N295" s="227">
        <f>M295*$N$7</f>
        <v>311.86411200000003</v>
      </c>
      <c r="O295" s="227">
        <f>M295+N295</f>
        <v>1463.5041120000001</v>
      </c>
    </row>
    <row r="296" spans="1:15" s="552" customFormat="1" ht="18.75" customHeight="1" x14ac:dyDescent="0.25">
      <c r="A296" s="543"/>
      <c r="B296" s="544"/>
      <c r="C296" s="513">
        <v>246</v>
      </c>
      <c r="D296" s="545" t="s">
        <v>764</v>
      </c>
      <c r="E296" s="514" t="s">
        <v>42</v>
      </c>
      <c r="F296" s="546">
        <v>3</v>
      </c>
      <c r="G296" s="547">
        <v>9.4499999999999993</v>
      </c>
      <c r="H296" s="548"/>
      <c r="I296" s="547">
        <f>F296*G296</f>
        <v>28.349999999999998</v>
      </c>
      <c r="J296" s="549"/>
      <c r="K296" s="548"/>
      <c r="L296" s="547"/>
      <c r="M296" s="549"/>
      <c r="N296" s="550"/>
      <c r="O296" s="551"/>
    </row>
    <row r="297" spans="1:15" s="552" customFormat="1" ht="18.75" customHeight="1" x14ac:dyDescent="0.25">
      <c r="A297" s="543"/>
      <c r="B297" s="544"/>
      <c r="C297" s="513">
        <v>2696</v>
      </c>
      <c r="D297" s="545" t="s">
        <v>765</v>
      </c>
      <c r="E297" s="514" t="s">
        <v>42</v>
      </c>
      <c r="F297" s="546">
        <v>3</v>
      </c>
      <c r="G297" s="547">
        <v>12.57</v>
      </c>
      <c r="H297" s="548"/>
      <c r="I297" s="547">
        <f>F297*G297</f>
        <v>37.71</v>
      </c>
      <c r="J297" s="549"/>
      <c r="K297" s="548"/>
      <c r="L297" s="547"/>
      <c r="M297" s="549"/>
      <c r="N297" s="550"/>
      <c r="O297" s="551"/>
    </row>
    <row r="298" spans="1:15" s="552" customFormat="1" ht="18.75" customHeight="1" x14ac:dyDescent="0.25">
      <c r="A298" s="543"/>
      <c r="B298" s="544"/>
      <c r="C298" s="513"/>
      <c r="D298" s="545" t="s">
        <v>149</v>
      </c>
      <c r="E298" s="514" t="s">
        <v>56</v>
      </c>
      <c r="F298" s="546">
        <v>8</v>
      </c>
      <c r="G298" s="547">
        <v>1.9</v>
      </c>
      <c r="H298" s="548">
        <f>F298*G298</f>
        <v>15.2</v>
      </c>
      <c r="I298" s="547"/>
      <c r="J298" s="549"/>
      <c r="K298" s="548"/>
      <c r="L298" s="547"/>
      <c r="M298" s="549"/>
      <c r="N298" s="550"/>
      <c r="O298" s="551"/>
    </row>
    <row r="299" spans="1:15" s="552" customFormat="1" ht="18.75" customHeight="1" x14ac:dyDescent="0.25">
      <c r="A299" s="543"/>
      <c r="B299" s="544"/>
      <c r="C299" s="513"/>
      <c r="D299" s="545" t="s">
        <v>150</v>
      </c>
      <c r="E299" s="514" t="s">
        <v>41</v>
      </c>
      <c r="F299" s="546">
        <v>1</v>
      </c>
      <c r="G299" s="547">
        <v>2.0099999999999998</v>
      </c>
      <c r="H299" s="548">
        <f>F299*G299</f>
        <v>2.0099999999999998</v>
      </c>
      <c r="I299" s="547"/>
      <c r="J299" s="549"/>
      <c r="K299" s="548"/>
      <c r="L299" s="547"/>
      <c r="M299" s="549"/>
      <c r="N299" s="550"/>
      <c r="O299" s="551"/>
    </row>
    <row r="300" spans="1:15" s="552" customFormat="1" ht="18.75" customHeight="1" x14ac:dyDescent="0.25">
      <c r="A300" s="543"/>
      <c r="B300" s="544"/>
      <c r="C300" s="513"/>
      <c r="D300" s="545" t="s">
        <v>151</v>
      </c>
      <c r="E300" s="514" t="s">
        <v>41</v>
      </c>
      <c r="F300" s="546">
        <v>3</v>
      </c>
      <c r="G300" s="547">
        <v>1.58</v>
      </c>
      <c r="H300" s="548">
        <f>F300*G300</f>
        <v>4.74</v>
      </c>
      <c r="I300" s="547"/>
      <c r="J300" s="549"/>
      <c r="K300" s="548"/>
      <c r="L300" s="547"/>
      <c r="M300" s="549"/>
      <c r="N300" s="550"/>
      <c r="O300" s="551"/>
    </row>
    <row r="301" spans="1:15" s="552" customFormat="1" ht="18.75" customHeight="1" x14ac:dyDescent="0.25">
      <c r="A301" s="543"/>
      <c r="B301" s="544"/>
      <c r="C301" s="513"/>
      <c r="D301" s="545" t="s">
        <v>152</v>
      </c>
      <c r="E301" s="514" t="s">
        <v>41</v>
      </c>
      <c r="F301" s="546">
        <v>1</v>
      </c>
      <c r="G301" s="547">
        <v>7.96</v>
      </c>
      <c r="H301" s="548">
        <f>F301*G301</f>
        <v>7.96</v>
      </c>
      <c r="I301" s="547"/>
      <c r="J301" s="549"/>
      <c r="K301" s="548"/>
      <c r="L301" s="547"/>
      <c r="M301" s="549"/>
      <c r="N301" s="550"/>
      <c r="O301" s="551"/>
    </row>
    <row r="302" spans="1:15" s="552" customFormat="1" ht="18.75" customHeight="1" x14ac:dyDescent="0.25">
      <c r="A302" s="543"/>
      <c r="B302" s="544"/>
      <c r="C302" s="513"/>
      <c r="D302" s="545"/>
      <c r="E302" s="514"/>
      <c r="F302" s="546"/>
      <c r="G302" s="547"/>
      <c r="H302" s="548"/>
      <c r="I302" s="547"/>
      <c r="J302" s="549"/>
      <c r="K302" s="548"/>
      <c r="L302" s="547"/>
      <c r="M302" s="549"/>
      <c r="N302" s="550"/>
      <c r="O302" s="551"/>
    </row>
    <row r="303" spans="1:15" s="23" customFormat="1" ht="22.5" x14ac:dyDescent="0.2">
      <c r="A303" s="223" t="s">
        <v>39</v>
      </c>
      <c r="B303" s="224" t="s">
        <v>236</v>
      </c>
      <c r="C303" s="225" t="s">
        <v>331</v>
      </c>
      <c r="D303" s="226" t="s">
        <v>199</v>
      </c>
      <c r="E303" s="225" t="s">
        <v>41</v>
      </c>
      <c r="F303" s="515">
        <f>'MEMÓRIA DE CÁLCULO'!P39</f>
        <v>1</v>
      </c>
      <c r="G303" s="228"/>
      <c r="H303" s="229">
        <f>ROUND(SUM(H304:H309),2)</f>
        <v>63.83</v>
      </c>
      <c r="I303" s="230">
        <f>ROUND(SUM(I304:I309),2)</f>
        <v>66.06</v>
      </c>
      <c r="J303" s="231">
        <f>(H303+I303)</f>
        <v>129.88999999999999</v>
      </c>
      <c r="K303" s="229">
        <f>F303*H303</f>
        <v>63.83</v>
      </c>
      <c r="L303" s="230">
        <f>F303*I303</f>
        <v>66.06</v>
      </c>
      <c r="M303" s="231">
        <f>K303+L303</f>
        <v>129.88999999999999</v>
      </c>
      <c r="N303" s="227">
        <f>M303*$N$7</f>
        <v>35.174211999999997</v>
      </c>
      <c r="O303" s="227">
        <f>M303+N303</f>
        <v>165.064212</v>
      </c>
    </row>
    <row r="304" spans="1:15" s="552" customFormat="1" ht="18.75" customHeight="1" x14ac:dyDescent="0.25">
      <c r="A304" s="543"/>
      <c r="B304" s="544"/>
      <c r="C304" s="513">
        <v>246</v>
      </c>
      <c r="D304" s="545" t="s">
        <v>766</v>
      </c>
      <c r="E304" s="514" t="s">
        <v>42</v>
      </c>
      <c r="F304" s="546">
        <v>3</v>
      </c>
      <c r="G304" s="547">
        <v>9.4499999999999993</v>
      </c>
      <c r="H304" s="548"/>
      <c r="I304" s="547">
        <f>F304*G304</f>
        <v>28.349999999999998</v>
      </c>
      <c r="J304" s="549"/>
      <c r="K304" s="548"/>
      <c r="L304" s="547"/>
      <c r="M304" s="549"/>
      <c r="N304" s="550"/>
      <c r="O304" s="551"/>
    </row>
    <row r="305" spans="1:15" s="552" customFormat="1" ht="18.75" customHeight="1" x14ac:dyDescent="0.25">
      <c r="A305" s="543"/>
      <c r="B305" s="544"/>
      <c r="C305" s="513">
        <v>2696</v>
      </c>
      <c r="D305" s="545" t="s">
        <v>765</v>
      </c>
      <c r="E305" s="514" t="s">
        <v>42</v>
      </c>
      <c r="F305" s="546">
        <v>3</v>
      </c>
      <c r="G305" s="547">
        <v>12.57</v>
      </c>
      <c r="H305" s="548"/>
      <c r="I305" s="547">
        <f>F305*G305</f>
        <v>37.71</v>
      </c>
      <c r="J305" s="549"/>
      <c r="K305" s="548"/>
      <c r="L305" s="547"/>
      <c r="M305" s="549"/>
      <c r="N305" s="550"/>
      <c r="O305" s="551"/>
    </row>
    <row r="306" spans="1:15" s="552" customFormat="1" ht="18.75" customHeight="1" x14ac:dyDescent="0.25">
      <c r="A306" s="543"/>
      <c r="B306" s="544"/>
      <c r="C306" s="513"/>
      <c r="D306" s="545" t="s">
        <v>153</v>
      </c>
      <c r="E306" s="514" t="s">
        <v>56</v>
      </c>
      <c r="F306" s="546">
        <v>8</v>
      </c>
      <c r="G306" s="547">
        <v>4.37</v>
      </c>
      <c r="H306" s="548">
        <f>F306*G306</f>
        <v>34.96</v>
      </c>
      <c r="I306" s="547"/>
      <c r="J306" s="549"/>
      <c r="K306" s="548"/>
      <c r="L306" s="547"/>
      <c r="M306" s="549"/>
      <c r="N306" s="550"/>
      <c r="O306" s="551"/>
    </row>
    <row r="307" spans="1:15" s="552" customFormat="1" ht="18.75" customHeight="1" x14ac:dyDescent="0.25">
      <c r="A307" s="543"/>
      <c r="B307" s="544"/>
      <c r="C307" s="513"/>
      <c r="D307" s="545" t="s">
        <v>154</v>
      </c>
      <c r="E307" s="514" t="s">
        <v>41</v>
      </c>
      <c r="F307" s="546">
        <v>1</v>
      </c>
      <c r="G307" s="547">
        <v>1.07</v>
      </c>
      <c r="H307" s="548">
        <f>F307*G307</f>
        <v>1.07</v>
      </c>
      <c r="I307" s="547"/>
      <c r="J307" s="549"/>
      <c r="K307" s="548"/>
      <c r="L307" s="547"/>
      <c r="M307" s="549"/>
      <c r="N307" s="550"/>
      <c r="O307" s="551"/>
    </row>
    <row r="308" spans="1:15" s="552" customFormat="1" ht="18.75" customHeight="1" x14ac:dyDescent="0.25">
      <c r="A308" s="543"/>
      <c r="B308" s="544"/>
      <c r="C308" s="513"/>
      <c r="D308" s="545" t="s">
        <v>155</v>
      </c>
      <c r="E308" s="514" t="s">
        <v>41</v>
      </c>
      <c r="F308" s="546">
        <v>3</v>
      </c>
      <c r="G308" s="547">
        <v>7.82</v>
      </c>
      <c r="H308" s="548">
        <f>F308*G308</f>
        <v>23.46</v>
      </c>
      <c r="I308" s="547"/>
      <c r="J308" s="549"/>
      <c r="K308" s="548"/>
      <c r="L308" s="547"/>
      <c r="M308" s="549"/>
      <c r="N308" s="550"/>
      <c r="O308" s="551"/>
    </row>
    <row r="309" spans="1:15" s="552" customFormat="1" ht="18.75" customHeight="1" x14ac:dyDescent="0.25">
      <c r="A309" s="543"/>
      <c r="B309" s="544"/>
      <c r="C309" s="513"/>
      <c r="D309" s="545" t="s">
        <v>156</v>
      </c>
      <c r="E309" s="514" t="s">
        <v>41</v>
      </c>
      <c r="F309" s="546">
        <v>1</v>
      </c>
      <c r="G309" s="547">
        <v>4.34</v>
      </c>
      <c r="H309" s="548">
        <f>F309*G309</f>
        <v>4.34</v>
      </c>
      <c r="I309" s="547"/>
      <c r="J309" s="549"/>
      <c r="K309" s="548"/>
      <c r="L309" s="547"/>
      <c r="M309" s="549"/>
      <c r="N309" s="550"/>
      <c r="O309" s="551"/>
    </row>
    <row r="310" spans="1:15" s="179" customFormat="1" ht="11.25" x14ac:dyDescent="0.25">
      <c r="A310" s="173"/>
      <c r="B310" s="174"/>
      <c r="C310" s="175"/>
      <c r="D310" s="174"/>
      <c r="E310" s="175"/>
      <c r="F310" s="178"/>
      <c r="G310" s="191"/>
      <c r="H310" s="178"/>
      <c r="I310" s="200"/>
      <c r="J310" s="201"/>
      <c r="K310" s="175"/>
      <c r="L310" s="197"/>
      <c r="M310" s="198"/>
      <c r="N310" s="199"/>
      <c r="O310" s="174"/>
    </row>
    <row r="311" spans="1:15" s="23" customFormat="1" ht="14.25" x14ac:dyDescent="0.2">
      <c r="A311" s="223" t="s">
        <v>39</v>
      </c>
      <c r="B311" s="224" t="s">
        <v>157</v>
      </c>
      <c r="C311" s="225" t="s">
        <v>332</v>
      </c>
      <c r="D311" s="226" t="s">
        <v>200</v>
      </c>
      <c r="E311" s="225" t="s">
        <v>41</v>
      </c>
      <c r="F311" s="515">
        <f>'MEMÓRIA DE CÁLCULO'!Q39</f>
        <v>6</v>
      </c>
      <c r="G311" s="228">
        <v>51.288494999999998</v>
      </c>
      <c r="H311" s="229">
        <f>ROUND(SUM(H312:H317),2)</f>
        <v>73.27</v>
      </c>
      <c r="I311" s="230">
        <f>ROUND(SUM(I312:I317),2)</f>
        <v>77.069999999999993</v>
      </c>
      <c r="J311" s="231">
        <f>(H311+I311)</f>
        <v>150.33999999999997</v>
      </c>
      <c r="K311" s="229">
        <f>F311*H311</f>
        <v>439.62</v>
      </c>
      <c r="L311" s="230">
        <f>F311*I311</f>
        <v>462.41999999999996</v>
      </c>
      <c r="M311" s="231">
        <f>K311+L311</f>
        <v>902.04</v>
      </c>
      <c r="N311" s="227">
        <f>M311*$N$7</f>
        <v>244.27243199999998</v>
      </c>
      <c r="O311" s="227">
        <f>M311+N311</f>
        <v>1146.3124319999999</v>
      </c>
    </row>
    <row r="312" spans="1:15" s="552" customFormat="1" ht="18.75" customHeight="1" x14ac:dyDescent="0.25">
      <c r="A312" s="543"/>
      <c r="B312" s="544"/>
      <c r="C312" s="513">
        <v>246</v>
      </c>
      <c r="D312" s="545" t="s">
        <v>766</v>
      </c>
      <c r="E312" s="514" t="s">
        <v>42</v>
      </c>
      <c r="F312" s="546">
        <v>3.5</v>
      </c>
      <c r="G312" s="547">
        <v>9.4499999999999993</v>
      </c>
      <c r="H312" s="548"/>
      <c r="I312" s="547">
        <f>F312*G312</f>
        <v>33.074999999999996</v>
      </c>
      <c r="J312" s="549"/>
      <c r="K312" s="548"/>
      <c r="L312" s="547"/>
      <c r="M312" s="549"/>
      <c r="N312" s="550"/>
      <c r="O312" s="551"/>
    </row>
    <row r="313" spans="1:15" s="552" customFormat="1" ht="18.75" customHeight="1" x14ac:dyDescent="0.25">
      <c r="A313" s="543"/>
      <c r="B313" s="544"/>
      <c r="C313" s="513">
        <v>2696</v>
      </c>
      <c r="D313" s="545" t="s">
        <v>765</v>
      </c>
      <c r="E313" s="514" t="s">
        <v>42</v>
      </c>
      <c r="F313" s="546">
        <v>3.5</v>
      </c>
      <c r="G313" s="547">
        <v>12.57</v>
      </c>
      <c r="H313" s="548"/>
      <c r="I313" s="547">
        <f>F313*G313</f>
        <v>43.995000000000005</v>
      </c>
      <c r="J313" s="549"/>
      <c r="K313" s="548"/>
      <c r="L313" s="547"/>
      <c r="M313" s="549"/>
      <c r="N313" s="550"/>
      <c r="O313" s="551"/>
    </row>
    <row r="314" spans="1:15" s="552" customFormat="1" ht="18.75" customHeight="1" x14ac:dyDescent="0.25">
      <c r="A314" s="543"/>
      <c r="B314" s="544"/>
      <c r="C314" s="513"/>
      <c r="D314" s="545" t="s">
        <v>158</v>
      </c>
      <c r="E314" s="514" t="s">
        <v>41</v>
      </c>
      <c r="F314" s="546">
        <v>1</v>
      </c>
      <c r="G314" s="547">
        <v>8.14</v>
      </c>
      <c r="H314" s="548">
        <f>F314*G314</f>
        <v>8.14</v>
      </c>
      <c r="I314" s="547"/>
      <c r="J314" s="549"/>
      <c r="K314" s="548"/>
      <c r="L314" s="547"/>
      <c r="M314" s="549"/>
      <c r="N314" s="550"/>
      <c r="O314" s="551"/>
    </row>
    <row r="315" spans="1:15" s="552" customFormat="1" ht="18.75" customHeight="1" x14ac:dyDescent="0.25">
      <c r="A315" s="543"/>
      <c r="B315" s="544"/>
      <c r="C315" s="513"/>
      <c r="D315" s="545" t="s">
        <v>159</v>
      </c>
      <c r="E315" s="514" t="s">
        <v>56</v>
      </c>
      <c r="F315" s="546">
        <v>6</v>
      </c>
      <c r="G315" s="547">
        <v>7.19</v>
      </c>
      <c r="H315" s="548">
        <f>F315*G315</f>
        <v>43.14</v>
      </c>
      <c r="I315" s="547"/>
      <c r="J315" s="549"/>
      <c r="K315" s="548"/>
      <c r="L315" s="547"/>
      <c r="M315" s="549"/>
      <c r="N315" s="550"/>
      <c r="O315" s="551"/>
    </row>
    <row r="316" spans="1:15" s="552" customFormat="1" ht="18.75" customHeight="1" x14ac:dyDescent="0.25">
      <c r="A316" s="543"/>
      <c r="B316" s="544"/>
      <c r="C316" s="513"/>
      <c r="D316" s="545" t="s">
        <v>160</v>
      </c>
      <c r="E316" s="514" t="s">
        <v>41</v>
      </c>
      <c r="F316" s="546">
        <v>1</v>
      </c>
      <c r="G316" s="547">
        <v>12.83</v>
      </c>
      <c r="H316" s="548">
        <f>F316*G316</f>
        <v>12.83</v>
      </c>
      <c r="I316" s="547"/>
      <c r="J316" s="549"/>
      <c r="K316" s="548"/>
      <c r="L316" s="547"/>
      <c r="M316" s="549"/>
      <c r="N316" s="550"/>
      <c r="O316" s="551"/>
    </row>
    <row r="317" spans="1:15" s="552" customFormat="1" ht="18.75" customHeight="1" x14ac:dyDescent="0.25">
      <c r="A317" s="543"/>
      <c r="B317" s="544"/>
      <c r="C317" s="513"/>
      <c r="D317" s="545" t="s">
        <v>161</v>
      </c>
      <c r="E317" s="514" t="s">
        <v>41</v>
      </c>
      <c r="F317" s="546">
        <v>2</v>
      </c>
      <c r="G317" s="547">
        <v>4.58</v>
      </c>
      <c r="H317" s="548">
        <f>F317*G317</f>
        <v>9.16</v>
      </c>
      <c r="I317" s="547"/>
      <c r="J317" s="549"/>
      <c r="K317" s="548"/>
      <c r="L317" s="547"/>
      <c r="M317" s="549"/>
      <c r="N317" s="550"/>
      <c r="O317" s="551"/>
    </row>
    <row r="318" spans="1:15" s="179" customFormat="1" ht="11.25" x14ac:dyDescent="0.25">
      <c r="A318" s="173"/>
      <c r="B318" s="174"/>
      <c r="C318" s="175"/>
      <c r="D318" s="174"/>
      <c r="E318" s="175"/>
      <c r="F318" s="178"/>
      <c r="G318" s="191"/>
      <c r="H318" s="178"/>
      <c r="I318" s="200"/>
      <c r="J318" s="201"/>
      <c r="K318" s="175"/>
      <c r="L318" s="197"/>
      <c r="M318" s="198"/>
      <c r="N318" s="199"/>
      <c r="O318" s="174"/>
    </row>
    <row r="319" spans="1:15" s="23" customFormat="1" ht="14.25" x14ac:dyDescent="0.2">
      <c r="A319" s="223" t="s">
        <v>39</v>
      </c>
      <c r="B319" s="224" t="s">
        <v>162</v>
      </c>
      <c r="C319" s="225" t="s">
        <v>333</v>
      </c>
      <c r="D319" s="226" t="s">
        <v>201</v>
      </c>
      <c r="E319" s="225" t="s">
        <v>41</v>
      </c>
      <c r="F319" s="515">
        <f>'MEMÓRIA DE CÁLCULO'!R39</f>
        <v>7</v>
      </c>
      <c r="G319" s="228">
        <v>36.808495000000001</v>
      </c>
      <c r="H319" s="229">
        <f>ROUND(SUM(H320:H325),2)</f>
        <v>44.22</v>
      </c>
      <c r="I319" s="230">
        <f>ROUND(SUM(I320:I325),2)</f>
        <v>66.06</v>
      </c>
      <c r="J319" s="231">
        <f>(H319+I319)</f>
        <v>110.28</v>
      </c>
      <c r="K319" s="229">
        <f>F319*H319</f>
        <v>309.53999999999996</v>
      </c>
      <c r="L319" s="230">
        <f>F319*I319</f>
        <v>462.42</v>
      </c>
      <c r="M319" s="231">
        <f>K319+L319</f>
        <v>771.96</v>
      </c>
      <c r="N319" s="227">
        <f>M319*$N$7</f>
        <v>209.04676799999999</v>
      </c>
      <c r="O319" s="227">
        <f>M319+N319</f>
        <v>981.00676799999997</v>
      </c>
    </row>
    <row r="320" spans="1:15" s="552" customFormat="1" ht="18.75" customHeight="1" x14ac:dyDescent="0.25">
      <c r="A320" s="543"/>
      <c r="B320" s="544"/>
      <c r="C320" s="513">
        <v>246</v>
      </c>
      <c r="D320" s="545" t="s">
        <v>766</v>
      </c>
      <c r="E320" s="514" t="s">
        <v>42</v>
      </c>
      <c r="F320" s="546">
        <v>3</v>
      </c>
      <c r="G320" s="547">
        <v>9.4499999999999993</v>
      </c>
      <c r="H320" s="548"/>
      <c r="I320" s="547">
        <f>F320*G320</f>
        <v>28.349999999999998</v>
      </c>
      <c r="J320" s="549"/>
      <c r="K320" s="548"/>
      <c r="L320" s="547"/>
      <c r="M320" s="549"/>
      <c r="N320" s="550"/>
      <c r="O320" s="551"/>
    </row>
    <row r="321" spans="1:15" s="552" customFormat="1" ht="18.75" customHeight="1" x14ac:dyDescent="0.25">
      <c r="A321" s="543"/>
      <c r="B321" s="544"/>
      <c r="C321" s="513">
        <v>2696</v>
      </c>
      <c r="D321" s="545" t="s">
        <v>765</v>
      </c>
      <c r="E321" s="514" t="s">
        <v>42</v>
      </c>
      <c r="F321" s="546">
        <v>3</v>
      </c>
      <c r="G321" s="547">
        <v>12.57</v>
      </c>
      <c r="H321" s="548"/>
      <c r="I321" s="547">
        <f>F321*G321</f>
        <v>37.71</v>
      </c>
      <c r="J321" s="549"/>
      <c r="K321" s="548"/>
      <c r="L321" s="547"/>
      <c r="M321" s="549"/>
      <c r="N321" s="550"/>
      <c r="O321" s="551"/>
    </row>
    <row r="322" spans="1:15" s="552" customFormat="1" ht="18.75" customHeight="1" x14ac:dyDescent="0.25">
      <c r="A322" s="543"/>
      <c r="B322" s="544"/>
      <c r="C322" s="513"/>
      <c r="D322" s="545" t="s">
        <v>163</v>
      </c>
      <c r="E322" s="514" t="s">
        <v>56</v>
      </c>
      <c r="F322" s="546">
        <v>6</v>
      </c>
      <c r="G322" s="547">
        <v>4.43</v>
      </c>
      <c r="H322" s="548">
        <f>F322*G322</f>
        <v>26.58</v>
      </c>
      <c r="I322" s="547"/>
      <c r="J322" s="549"/>
      <c r="K322" s="548"/>
      <c r="L322" s="547"/>
      <c r="M322" s="549"/>
      <c r="N322" s="550"/>
      <c r="O322" s="551"/>
    </row>
    <row r="323" spans="1:15" s="552" customFormat="1" ht="18.75" customHeight="1" x14ac:dyDescent="0.25">
      <c r="A323" s="543"/>
      <c r="B323" s="544"/>
      <c r="C323" s="513"/>
      <c r="D323" s="545" t="s">
        <v>164</v>
      </c>
      <c r="E323" s="514" t="s">
        <v>41</v>
      </c>
      <c r="F323" s="546">
        <v>1</v>
      </c>
      <c r="G323" s="547">
        <v>3.62</v>
      </c>
      <c r="H323" s="548">
        <f>F323*G323</f>
        <v>3.62</v>
      </c>
      <c r="I323" s="547"/>
      <c r="J323" s="549"/>
      <c r="K323" s="548"/>
      <c r="L323" s="547"/>
      <c r="M323" s="549"/>
      <c r="N323" s="550"/>
      <c r="O323" s="551"/>
    </row>
    <row r="324" spans="1:15" s="552" customFormat="1" ht="18.75" customHeight="1" x14ac:dyDescent="0.25">
      <c r="A324" s="543"/>
      <c r="B324" s="544"/>
      <c r="C324" s="513"/>
      <c r="D324" s="545" t="s">
        <v>165</v>
      </c>
      <c r="E324" s="514" t="s">
        <v>41</v>
      </c>
      <c r="F324" s="546">
        <v>1</v>
      </c>
      <c r="G324" s="547">
        <v>8.3800000000000008</v>
      </c>
      <c r="H324" s="548">
        <f>F324*G324</f>
        <v>8.3800000000000008</v>
      </c>
      <c r="I324" s="547"/>
      <c r="J324" s="549"/>
      <c r="K324" s="548"/>
      <c r="L324" s="547"/>
      <c r="M324" s="549"/>
      <c r="N324" s="550"/>
      <c r="O324" s="551"/>
    </row>
    <row r="325" spans="1:15" s="552" customFormat="1" ht="18.75" customHeight="1" x14ac:dyDescent="0.25">
      <c r="A325" s="543"/>
      <c r="B325" s="544"/>
      <c r="C325" s="513"/>
      <c r="D325" s="545" t="s">
        <v>166</v>
      </c>
      <c r="E325" s="514" t="s">
        <v>41</v>
      </c>
      <c r="F325" s="546">
        <v>2</v>
      </c>
      <c r="G325" s="547">
        <v>2.82</v>
      </c>
      <c r="H325" s="548">
        <f>F325*G325</f>
        <v>5.64</v>
      </c>
      <c r="I325" s="547"/>
      <c r="J325" s="549"/>
      <c r="K325" s="548"/>
      <c r="L325" s="547"/>
      <c r="M325" s="549"/>
      <c r="N325" s="550"/>
      <c r="O325" s="551"/>
    </row>
    <row r="326" spans="1:15" s="179" customFormat="1" ht="15" customHeight="1" x14ac:dyDescent="0.25">
      <c r="A326" s="202"/>
      <c r="B326" s="190"/>
      <c r="C326" s="203"/>
      <c r="D326" s="190"/>
      <c r="E326" s="203"/>
      <c r="F326" s="178"/>
      <c r="G326" s="191"/>
      <c r="H326" s="204"/>
      <c r="I326" s="200"/>
      <c r="J326" s="201"/>
      <c r="K326" s="203"/>
      <c r="L326" s="182"/>
      <c r="M326" s="183"/>
      <c r="N326" s="205"/>
      <c r="O326" s="188"/>
    </row>
    <row r="327" spans="1:15" s="23" customFormat="1" ht="14.25" x14ac:dyDescent="0.2">
      <c r="A327" s="135"/>
      <c r="B327" s="120"/>
      <c r="C327" s="122"/>
      <c r="D327" s="124" t="s">
        <v>32</v>
      </c>
      <c r="E327" s="122"/>
      <c r="F327" s="90"/>
      <c r="G327" s="116"/>
      <c r="H327" s="102"/>
      <c r="I327" s="35"/>
      <c r="J327" s="103"/>
      <c r="K327" s="141"/>
      <c r="L327" s="35"/>
      <c r="M327" s="103"/>
      <c r="N327" s="90"/>
      <c r="O327" s="90"/>
    </row>
    <row r="328" spans="1:15" s="23" customFormat="1" ht="14.25" x14ac:dyDescent="0.2">
      <c r="A328" s="134"/>
      <c r="B328" s="129"/>
      <c r="C328" s="29"/>
      <c r="D328" s="117" t="s">
        <v>83</v>
      </c>
      <c r="E328" s="30"/>
      <c r="F328" s="118"/>
      <c r="G328" s="31"/>
      <c r="H328" s="104"/>
      <c r="I328" s="27"/>
      <c r="J328" s="105"/>
      <c r="K328" s="31"/>
      <c r="L328" s="31"/>
      <c r="M328" s="111"/>
      <c r="N328" s="92"/>
      <c r="O328" s="92"/>
    </row>
    <row r="329" spans="1:15" s="23" customFormat="1" ht="22.5" x14ac:dyDescent="0.2">
      <c r="A329" s="223" t="s">
        <v>78</v>
      </c>
      <c r="B329" s="224" t="s">
        <v>33</v>
      </c>
      <c r="C329" s="225" t="s">
        <v>334</v>
      </c>
      <c r="D329" s="226" t="s">
        <v>202</v>
      </c>
      <c r="E329" s="225" t="s">
        <v>81</v>
      </c>
      <c r="F329" s="515">
        <f>'MEMÓRIA DE CÁLCULO'!AJ39</f>
        <v>1</v>
      </c>
      <c r="G329" s="228"/>
      <c r="H329" s="229">
        <f>ROUND(SUM(H330:H333),2)</f>
        <v>82.19</v>
      </c>
      <c r="I329" s="229">
        <f>ROUND(SUM(I330:I333),2)</f>
        <v>20.92</v>
      </c>
      <c r="J329" s="231">
        <f>(H329+I329)</f>
        <v>103.11</v>
      </c>
      <c r="K329" s="229">
        <f>F329*H329</f>
        <v>82.19</v>
      </c>
      <c r="L329" s="230">
        <f>F329*I329</f>
        <v>20.92</v>
      </c>
      <c r="M329" s="231">
        <f>K329+L329</f>
        <v>103.11</v>
      </c>
      <c r="N329" s="227">
        <f>M329*$N$7</f>
        <v>27.922187999999998</v>
      </c>
      <c r="O329" s="227">
        <f>M329+N329</f>
        <v>131.03218799999999</v>
      </c>
    </row>
    <row r="330" spans="1:15" s="552" customFormat="1" ht="18.75" customHeight="1" x14ac:dyDescent="0.25">
      <c r="A330" s="543"/>
      <c r="B330" s="544"/>
      <c r="C330" s="513">
        <v>246</v>
      </c>
      <c r="D330" s="545" t="s">
        <v>766</v>
      </c>
      <c r="E330" s="514" t="s">
        <v>42</v>
      </c>
      <c r="F330" s="546">
        <v>0.95</v>
      </c>
      <c r="G330" s="547">
        <v>9.4499999999999993</v>
      </c>
      <c r="H330" s="548"/>
      <c r="I330" s="547">
        <f>F330*G330</f>
        <v>8.9774999999999991</v>
      </c>
      <c r="J330" s="549"/>
      <c r="K330" s="548"/>
      <c r="L330" s="547"/>
      <c r="M330" s="549"/>
      <c r="N330" s="550"/>
      <c r="O330" s="551"/>
    </row>
    <row r="331" spans="1:15" s="552" customFormat="1" ht="18.75" customHeight="1" x14ac:dyDescent="0.25">
      <c r="A331" s="543"/>
      <c r="B331" s="544"/>
      <c r="C331" s="513">
        <v>2696</v>
      </c>
      <c r="D331" s="545" t="s">
        <v>765</v>
      </c>
      <c r="E331" s="514" t="s">
        <v>42</v>
      </c>
      <c r="F331" s="546">
        <v>0.95</v>
      </c>
      <c r="G331" s="547">
        <v>12.57</v>
      </c>
      <c r="H331" s="548"/>
      <c r="I331" s="547">
        <f>F331*G331</f>
        <v>11.9415</v>
      </c>
      <c r="J331" s="549"/>
      <c r="K331" s="548"/>
      <c r="L331" s="547"/>
      <c r="M331" s="549"/>
      <c r="N331" s="550"/>
      <c r="O331" s="551"/>
    </row>
    <row r="332" spans="1:15" s="552" customFormat="1" ht="18.75" customHeight="1" x14ac:dyDescent="0.25">
      <c r="A332" s="543"/>
      <c r="B332" s="544"/>
      <c r="C332" s="513">
        <v>3146</v>
      </c>
      <c r="D332" s="545" t="s">
        <v>746</v>
      </c>
      <c r="E332" s="514" t="s">
        <v>81</v>
      </c>
      <c r="F332" s="546">
        <v>0.188</v>
      </c>
      <c r="G332" s="547">
        <v>2.0699999999999998</v>
      </c>
      <c r="H332" s="548">
        <f>F332*G332</f>
        <v>0.38915999999999995</v>
      </c>
      <c r="I332" s="547"/>
      <c r="J332" s="549"/>
      <c r="K332" s="548"/>
      <c r="L332" s="547"/>
      <c r="M332" s="549"/>
      <c r="N332" s="550"/>
      <c r="O332" s="551"/>
    </row>
    <row r="333" spans="1:15" s="552" customFormat="1" ht="18.75" customHeight="1" x14ac:dyDescent="0.25">
      <c r="A333" s="543"/>
      <c r="B333" s="544"/>
      <c r="C333" s="513">
        <v>6015</v>
      </c>
      <c r="D333" s="545" t="s">
        <v>747</v>
      </c>
      <c r="E333" s="514" t="s">
        <v>41</v>
      </c>
      <c r="F333" s="546">
        <v>1</v>
      </c>
      <c r="G333" s="547">
        <v>81.8</v>
      </c>
      <c r="H333" s="548">
        <f>F333*G333</f>
        <v>81.8</v>
      </c>
      <c r="I333" s="547"/>
      <c r="J333" s="549"/>
      <c r="K333" s="548"/>
      <c r="L333" s="547"/>
      <c r="M333" s="549"/>
      <c r="N333" s="550"/>
      <c r="O333" s="551"/>
    </row>
    <row r="334" spans="1:15" s="23" customFormat="1" ht="14.25" x14ac:dyDescent="0.2">
      <c r="A334" s="134"/>
      <c r="B334" s="129"/>
      <c r="C334" s="29"/>
      <c r="D334" s="117" t="s">
        <v>83</v>
      </c>
      <c r="E334" s="30"/>
      <c r="F334" s="118"/>
      <c r="G334" s="31"/>
      <c r="H334" s="104"/>
      <c r="I334" s="27"/>
      <c r="J334" s="105"/>
      <c r="K334" s="31"/>
      <c r="L334" s="31"/>
      <c r="M334" s="111"/>
      <c r="N334" s="92"/>
      <c r="O334" s="92"/>
    </row>
    <row r="335" spans="1:15" s="23" customFormat="1" ht="22.5" x14ac:dyDescent="0.2">
      <c r="A335" s="223" t="s">
        <v>78</v>
      </c>
      <c r="B335" s="224" t="s">
        <v>34</v>
      </c>
      <c r="C335" s="225" t="s">
        <v>335</v>
      </c>
      <c r="D335" s="226" t="s">
        <v>504</v>
      </c>
      <c r="E335" s="225" t="s">
        <v>81</v>
      </c>
      <c r="F335" s="515">
        <f>'MEMÓRIA DE CÁLCULO'!AI39</f>
        <v>3</v>
      </c>
      <c r="G335" s="228"/>
      <c r="H335" s="229">
        <f>ROUND(SUM(H336:H339),2)</f>
        <v>46.14</v>
      </c>
      <c r="I335" s="229">
        <f>ROUND(SUM(I336:I339),2)</f>
        <v>13.43</v>
      </c>
      <c r="J335" s="231">
        <f>(H335+I335)</f>
        <v>59.57</v>
      </c>
      <c r="K335" s="229">
        <f>F335*H335</f>
        <v>138.42000000000002</v>
      </c>
      <c r="L335" s="230">
        <f>F335*I335</f>
        <v>40.29</v>
      </c>
      <c r="M335" s="231">
        <f>K335+L335</f>
        <v>178.71</v>
      </c>
      <c r="N335" s="227">
        <f>M335*$N$7</f>
        <v>48.394668000000003</v>
      </c>
      <c r="O335" s="227">
        <f>M335+N335</f>
        <v>227.104668</v>
      </c>
    </row>
    <row r="336" spans="1:15" s="552" customFormat="1" ht="18.75" customHeight="1" x14ac:dyDescent="0.25">
      <c r="A336" s="543"/>
      <c r="B336" s="544"/>
      <c r="C336" s="513">
        <v>246</v>
      </c>
      <c r="D336" s="545" t="s">
        <v>766</v>
      </c>
      <c r="E336" s="514" t="s">
        <v>42</v>
      </c>
      <c r="F336" s="546">
        <v>0.61</v>
      </c>
      <c r="G336" s="547">
        <v>9.4499999999999993</v>
      </c>
      <c r="H336" s="548"/>
      <c r="I336" s="547">
        <f>F336*G336</f>
        <v>5.7644999999999991</v>
      </c>
      <c r="J336" s="549"/>
      <c r="K336" s="548"/>
      <c r="L336" s="547"/>
      <c r="M336" s="549"/>
      <c r="N336" s="550"/>
      <c r="O336" s="551"/>
    </row>
    <row r="337" spans="1:15" s="552" customFormat="1" ht="18.75" customHeight="1" x14ac:dyDescent="0.25">
      <c r="A337" s="543"/>
      <c r="B337" s="544"/>
      <c r="C337" s="513">
        <v>2696</v>
      </c>
      <c r="D337" s="545" t="s">
        <v>765</v>
      </c>
      <c r="E337" s="514" t="s">
        <v>42</v>
      </c>
      <c r="F337" s="546">
        <v>0.61</v>
      </c>
      <c r="G337" s="547">
        <v>12.57</v>
      </c>
      <c r="H337" s="548"/>
      <c r="I337" s="547">
        <f>F337*G337</f>
        <v>7.6677</v>
      </c>
      <c r="J337" s="549"/>
      <c r="K337" s="548"/>
      <c r="L337" s="547"/>
      <c r="M337" s="549"/>
      <c r="N337" s="550"/>
      <c r="O337" s="551"/>
    </row>
    <row r="338" spans="1:15" s="552" customFormat="1" ht="18.75" customHeight="1" x14ac:dyDescent="0.25">
      <c r="A338" s="543"/>
      <c r="B338" s="544"/>
      <c r="C338" s="513">
        <v>3146</v>
      </c>
      <c r="D338" s="545" t="s">
        <v>746</v>
      </c>
      <c r="E338" s="514" t="s">
        <v>81</v>
      </c>
      <c r="F338" s="546">
        <v>9.4E-2</v>
      </c>
      <c r="G338" s="547">
        <v>2.0699999999999998</v>
      </c>
      <c r="H338" s="548">
        <f>F338*G338</f>
        <v>0.19457999999999998</v>
      </c>
      <c r="I338" s="547"/>
      <c r="J338" s="549"/>
      <c r="K338" s="548"/>
      <c r="L338" s="547"/>
      <c r="M338" s="549"/>
      <c r="N338" s="550"/>
      <c r="O338" s="551"/>
    </row>
    <row r="339" spans="1:15" s="552" customFormat="1" ht="18.75" customHeight="1" x14ac:dyDescent="0.25">
      <c r="A339" s="543"/>
      <c r="B339" s="544"/>
      <c r="C339" s="513">
        <v>6005</v>
      </c>
      <c r="D339" s="545" t="s">
        <v>748</v>
      </c>
      <c r="E339" s="514" t="s">
        <v>41</v>
      </c>
      <c r="F339" s="546">
        <v>1</v>
      </c>
      <c r="G339" s="547">
        <v>45.95</v>
      </c>
      <c r="H339" s="548">
        <f>F339*G339</f>
        <v>45.95</v>
      </c>
      <c r="I339" s="547"/>
      <c r="J339" s="549"/>
      <c r="K339" s="548"/>
      <c r="L339" s="547"/>
      <c r="M339" s="549"/>
      <c r="N339" s="550"/>
      <c r="O339" s="551"/>
    </row>
    <row r="340" spans="1:15" s="23" customFormat="1" ht="14.25" x14ac:dyDescent="0.2">
      <c r="A340" s="134"/>
      <c r="B340" s="129"/>
      <c r="C340" s="29"/>
      <c r="D340" s="117" t="s">
        <v>83</v>
      </c>
      <c r="E340" s="30"/>
      <c r="F340" s="118"/>
      <c r="G340" s="31"/>
      <c r="H340" s="104"/>
      <c r="I340" s="27"/>
      <c r="J340" s="105"/>
      <c r="K340" s="31"/>
      <c r="L340" s="31"/>
      <c r="M340" s="111"/>
      <c r="N340" s="92"/>
      <c r="O340" s="92"/>
    </row>
    <row r="341" spans="1:15" s="23" customFormat="1" ht="14.25" x14ac:dyDescent="0.2">
      <c r="A341" s="135"/>
      <c r="B341" s="120"/>
      <c r="C341" s="122"/>
      <c r="D341" s="124" t="s">
        <v>37</v>
      </c>
      <c r="E341" s="122"/>
      <c r="F341" s="90"/>
      <c r="G341" s="116"/>
      <c r="H341" s="102"/>
      <c r="I341" s="35"/>
      <c r="J341" s="103"/>
      <c r="K341" s="141"/>
      <c r="L341" s="35"/>
      <c r="M341" s="103"/>
      <c r="N341" s="90"/>
      <c r="O341" s="90"/>
    </row>
    <row r="342" spans="1:15" s="23" customFormat="1" ht="14.25" x14ac:dyDescent="0.2">
      <c r="A342" s="134"/>
      <c r="B342" s="129"/>
      <c r="C342" s="29"/>
      <c r="D342" s="117" t="s">
        <v>83</v>
      </c>
      <c r="E342" s="30"/>
      <c r="F342" s="118"/>
      <c r="G342" s="31"/>
      <c r="H342" s="104"/>
      <c r="I342" s="27"/>
      <c r="J342" s="105"/>
      <c r="K342" s="31"/>
      <c r="L342" s="31"/>
      <c r="M342" s="111"/>
      <c r="N342" s="92"/>
      <c r="O342" s="92"/>
    </row>
    <row r="343" spans="1:15" s="23" customFormat="1" ht="22.5" x14ac:dyDescent="0.2">
      <c r="A343" s="223" t="s">
        <v>78</v>
      </c>
      <c r="B343" s="224">
        <v>40777</v>
      </c>
      <c r="C343" s="225" t="s">
        <v>336</v>
      </c>
      <c r="D343" s="226" t="s">
        <v>0</v>
      </c>
      <c r="E343" s="225" t="s">
        <v>81</v>
      </c>
      <c r="F343" s="515">
        <v>5</v>
      </c>
      <c r="G343" s="228"/>
      <c r="H343" s="229">
        <f>ROUND(SUM(H344:H346),2)</f>
        <v>5.83</v>
      </c>
      <c r="I343" s="229">
        <f>ROUND(SUM(I344:I346),2)</f>
        <v>11.01</v>
      </c>
      <c r="J343" s="231">
        <f>(H343+I343)</f>
        <v>16.84</v>
      </c>
      <c r="K343" s="229">
        <f>F343*H343</f>
        <v>29.15</v>
      </c>
      <c r="L343" s="230">
        <f>F343*I343</f>
        <v>55.05</v>
      </c>
      <c r="M343" s="231">
        <f>K343+L343</f>
        <v>84.199999999999989</v>
      </c>
      <c r="N343" s="227">
        <f>M343*$N$7</f>
        <v>22.801359999999995</v>
      </c>
      <c r="O343" s="227">
        <f>M343+N343</f>
        <v>107.00135999999998</v>
      </c>
    </row>
    <row r="344" spans="1:15" s="552" customFormat="1" ht="18.75" customHeight="1" x14ac:dyDescent="0.25">
      <c r="A344" s="543"/>
      <c r="B344" s="544"/>
      <c r="C344" s="513">
        <v>2696</v>
      </c>
      <c r="D344" s="545" t="s">
        <v>765</v>
      </c>
      <c r="E344" s="514" t="s">
        <v>42</v>
      </c>
      <c r="F344" s="546">
        <v>0.5</v>
      </c>
      <c r="G344" s="547">
        <v>12.57</v>
      </c>
      <c r="H344" s="548"/>
      <c r="I344" s="547">
        <f>F344*G344</f>
        <v>6.2850000000000001</v>
      </c>
      <c r="J344" s="549"/>
      <c r="K344" s="548"/>
      <c r="L344" s="547"/>
      <c r="M344" s="549"/>
      <c r="N344" s="550"/>
      <c r="O344" s="551"/>
    </row>
    <row r="345" spans="1:15" s="552" customFormat="1" ht="18.75" customHeight="1" x14ac:dyDescent="0.25">
      <c r="A345" s="543"/>
      <c r="B345" s="544"/>
      <c r="C345" s="513">
        <v>246</v>
      </c>
      <c r="D345" s="545" t="s">
        <v>766</v>
      </c>
      <c r="E345" s="514" t="s">
        <v>42</v>
      </c>
      <c r="F345" s="546">
        <v>0.5</v>
      </c>
      <c r="G345" s="547">
        <v>9.4499999999999993</v>
      </c>
      <c r="H345" s="548"/>
      <c r="I345" s="547">
        <f>F345*G345</f>
        <v>4.7249999999999996</v>
      </c>
      <c r="J345" s="549"/>
      <c r="K345" s="548"/>
      <c r="L345" s="547"/>
      <c r="M345" s="549"/>
      <c r="N345" s="550"/>
      <c r="O345" s="551"/>
    </row>
    <row r="346" spans="1:15" s="552" customFormat="1" ht="18.75" customHeight="1" x14ac:dyDescent="0.25">
      <c r="A346" s="543"/>
      <c r="B346" s="544"/>
      <c r="C346" s="513">
        <v>11745</v>
      </c>
      <c r="D346" s="545" t="s">
        <v>749</v>
      </c>
      <c r="E346" s="514" t="s">
        <v>81</v>
      </c>
      <c r="F346" s="546">
        <v>1</v>
      </c>
      <c r="G346" s="547">
        <v>5.83</v>
      </c>
      <c r="H346" s="548">
        <f>F346*G346</f>
        <v>5.83</v>
      </c>
      <c r="I346" s="547"/>
      <c r="J346" s="549"/>
      <c r="K346" s="548"/>
      <c r="L346" s="547"/>
      <c r="M346" s="549"/>
      <c r="N346" s="550"/>
      <c r="O346" s="551"/>
    </row>
    <row r="347" spans="1:15" s="23" customFormat="1" ht="14.25" x14ac:dyDescent="0.2">
      <c r="A347" s="134"/>
      <c r="B347" s="129"/>
      <c r="C347" s="29"/>
      <c r="D347" s="117" t="s">
        <v>83</v>
      </c>
      <c r="E347" s="30"/>
      <c r="F347" s="118"/>
      <c r="G347" s="31"/>
      <c r="H347" s="104"/>
      <c r="I347" s="27"/>
      <c r="J347" s="105"/>
      <c r="K347" s="31"/>
      <c r="L347" s="31"/>
      <c r="M347" s="111"/>
      <c r="N347" s="92"/>
      <c r="O347" s="92"/>
    </row>
    <row r="348" spans="1:15" s="23" customFormat="1" ht="14.25" x14ac:dyDescent="0.2">
      <c r="A348" s="223" t="s">
        <v>79</v>
      </c>
      <c r="B348" s="224">
        <v>14001000005</v>
      </c>
      <c r="C348" s="225" t="s">
        <v>337</v>
      </c>
      <c r="D348" s="226" t="s">
        <v>215</v>
      </c>
      <c r="E348" s="225" t="s">
        <v>81</v>
      </c>
      <c r="F348" s="515">
        <v>2</v>
      </c>
      <c r="G348" s="228"/>
      <c r="H348" s="229">
        <f>ROUND(SUM(H349:H352),2)</f>
        <v>40.159999999999997</v>
      </c>
      <c r="I348" s="229">
        <f>ROUND(SUM(I349:I352),2)</f>
        <v>9.91</v>
      </c>
      <c r="J348" s="231">
        <f>(H348+I348)</f>
        <v>50.069999999999993</v>
      </c>
      <c r="K348" s="229">
        <f>F348*H348</f>
        <v>80.319999999999993</v>
      </c>
      <c r="L348" s="230">
        <f>F348*I348</f>
        <v>19.82</v>
      </c>
      <c r="M348" s="231">
        <f>K348+L348</f>
        <v>100.13999999999999</v>
      </c>
      <c r="N348" s="227">
        <f>M348*$N$7</f>
        <v>27.117911999999993</v>
      </c>
      <c r="O348" s="227">
        <f>M348+N348</f>
        <v>127.25791199999998</v>
      </c>
    </row>
    <row r="349" spans="1:15" s="552" customFormat="1" ht="18.75" customHeight="1" x14ac:dyDescent="0.25">
      <c r="A349" s="543"/>
      <c r="B349" s="544"/>
      <c r="C349" s="513">
        <v>2696</v>
      </c>
      <c r="D349" s="545" t="s">
        <v>765</v>
      </c>
      <c r="E349" s="514" t="s">
        <v>42</v>
      </c>
      <c r="F349" s="546">
        <v>0.45</v>
      </c>
      <c r="G349" s="547">
        <v>12.57</v>
      </c>
      <c r="H349" s="548"/>
      <c r="I349" s="547">
        <f>F349*G349</f>
        <v>5.6565000000000003</v>
      </c>
      <c r="J349" s="549"/>
      <c r="K349" s="548"/>
      <c r="L349" s="547"/>
      <c r="M349" s="549"/>
      <c r="N349" s="550"/>
      <c r="O349" s="551"/>
    </row>
    <row r="350" spans="1:15" s="552" customFormat="1" ht="18.75" customHeight="1" x14ac:dyDescent="0.25">
      <c r="A350" s="543"/>
      <c r="B350" s="544"/>
      <c r="C350" s="513">
        <v>246</v>
      </c>
      <c r="D350" s="545" t="s">
        <v>766</v>
      </c>
      <c r="E350" s="514" t="s">
        <v>42</v>
      </c>
      <c r="F350" s="546">
        <v>0.45</v>
      </c>
      <c r="G350" s="547">
        <v>9.4499999999999993</v>
      </c>
      <c r="H350" s="548"/>
      <c r="I350" s="547">
        <f>F350*G350</f>
        <v>4.2524999999999995</v>
      </c>
      <c r="J350" s="549"/>
      <c r="K350" s="548"/>
      <c r="L350" s="547"/>
      <c r="M350" s="549"/>
      <c r="N350" s="550"/>
      <c r="O350" s="551"/>
    </row>
    <row r="351" spans="1:15" s="552" customFormat="1" ht="18.75" customHeight="1" x14ac:dyDescent="0.25">
      <c r="A351" s="543"/>
      <c r="B351" s="544"/>
      <c r="C351" s="513"/>
      <c r="D351" s="545" t="s">
        <v>171</v>
      </c>
      <c r="E351" s="514" t="s">
        <v>97</v>
      </c>
      <c r="F351" s="546">
        <v>9.5000000000000001E-2</v>
      </c>
      <c r="G351" s="547">
        <v>31.93</v>
      </c>
      <c r="H351" s="548">
        <f>F351*G351</f>
        <v>3.03335</v>
      </c>
      <c r="I351" s="547"/>
      <c r="J351" s="549"/>
      <c r="K351" s="548"/>
      <c r="L351" s="547"/>
      <c r="M351" s="549"/>
      <c r="N351" s="550"/>
      <c r="O351" s="551"/>
    </row>
    <row r="352" spans="1:15" s="552" customFormat="1" ht="18.75" customHeight="1" x14ac:dyDescent="0.25">
      <c r="A352" s="543"/>
      <c r="B352" s="544"/>
      <c r="C352" s="513"/>
      <c r="D352" s="545" t="str">
        <f>D348</f>
        <v>Caixa de gordura de polietileno, 250 x 172 x 50mm - uma por copa.</v>
      </c>
      <c r="E352" s="514" t="s">
        <v>41</v>
      </c>
      <c r="F352" s="546">
        <v>1</v>
      </c>
      <c r="G352" s="547">
        <v>37.130000000000003</v>
      </c>
      <c r="H352" s="548">
        <f>F352*G352</f>
        <v>37.130000000000003</v>
      </c>
      <c r="I352" s="547"/>
      <c r="J352" s="549"/>
      <c r="K352" s="548"/>
      <c r="L352" s="547"/>
      <c r="M352" s="549"/>
      <c r="N352" s="550"/>
      <c r="O352" s="551"/>
    </row>
    <row r="353" spans="1:15" s="23" customFormat="1" ht="14.25" x14ac:dyDescent="0.2">
      <c r="A353" s="134"/>
      <c r="B353" s="129"/>
      <c r="C353" s="29"/>
      <c r="D353" s="117" t="s">
        <v>83</v>
      </c>
      <c r="E353" s="30"/>
      <c r="F353" s="118"/>
      <c r="G353" s="31"/>
      <c r="H353" s="104"/>
      <c r="I353" s="27"/>
      <c r="J353" s="105"/>
      <c r="K353" s="31"/>
      <c r="L353" s="31"/>
      <c r="M353" s="111"/>
      <c r="N353" s="92"/>
      <c r="O353" s="92"/>
    </row>
    <row r="354" spans="1:15" s="23" customFormat="1" ht="14.25" x14ac:dyDescent="0.2">
      <c r="A354" s="135"/>
      <c r="B354" s="120"/>
      <c r="C354" s="122"/>
      <c r="D354" s="124" t="s">
        <v>38</v>
      </c>
      <c r="E354" s="122"/>
      <c r="F354" s="90"/>
      <c r="G354" s="116"/>
      <c r="H354" s="102"/>
      <c r="I354" s="35"/>
      <c r="J354" s="103"/>
      <c r="K354" s="141"/>
      <c r="L354" s="35"/>
      <c r="M354" s="103"/>
      <c r="N354" s="90"/>
      <c r="O354" s="90"/>
    </row>
    <row r="355" spans="1:15" s="23" customFormat="1" ht="14.25" x14ac:dyDescent="0.2">
      <c r="A355" s="134"/>
      <c r="B355" s="129"/>
      <c r="C355" s="29"/>
      <c r="D355" s="117"/>
      <c r="E355" s="30"/>
      <c r="F355" s="118"/>
      <c r="G355" s="31"/>
      <c r="H355" s="104"/>
      <c r="I355" s="27"/>
      <c r="J355" s="105"/>
      <c r="K355" s="31"/>
      <c r="L355" s="31"/>
      <c r="M355" s="111"/>
      <c r="N355" s="92"/>
      <c r="O355" s="92"/>
    </row>
    <row r="356" spans="1:15" s="23" customFormat="1" ht="22.5" x14ac:dyDescent="0.2">
      <c r="A356" s="223" t="s">
        <v>39</v>
      </c>
      <c r="B356" s="224" t="s">
        <v>9</v>
      </c>
      <c r="C356" s="225" t="s">
        <v>338</v>
      </c>
      <c r="D356" s="226" t="s">
        <v>204</v>
      </c>
      <c r="E356" s="225" t="s">
        <v>41</v>
      </c>
      <c r="F356" s="515">
        <f>'MEMÓRIA DE CÁLCULO'!U39</f>
        <v>1</v>
      </c>
      <c r="G356" s="228"/>
      <c r="H356" s="229">
        <f>ROUND(SUM(H357:H367),2)</f>
        <v>531.55999999999995</v>
      </c>
      <c r="I356" s="230">
        <f>ROUND(SUM(I357:I367),2)</f>
        <v>72.67</v>
      </c>
      <c r="J356" s="231">
        <f>(H356+I356)</f>
        <v>604.2299999999999</v>
      </c>
      <c r="K356" s="229">
        <f>F356*H356</f>
        <v>531.55999999999995</v>
      </c>
      <c r="L356" s="230">
        <f>F356*I356</f>
        <v>72.67</v>
      </c>
      <c r="M356" s="231">
        <f>K356+L356</f>
        <v>604.2299999999999</v>
      </c>
      <c r="N356" s="227">
        <f>M356*$N$7</f>
        <v>163.62548399999997</v>
      </c>
      <c r="O356" s="227">
        <f>M356+N356</f>
        <v>767.85548399999993</v>
      </c>
    </row>
    <row r="357" spans="1:15" s="552" customFormat="1" ht="18.75" customHeight="1" x14ac:dyDescent="0.25">
      <c r="A357" s="543"/>
      <c r="B357" s="544"/>
      <c r="C357" s="513">
        <v>2696</v>
      </c>
      <c r="D357" s="545" t="s">
        <v>765</v>
      </c>
      <c r="E357" s="514" t="s">
        <v>42</v>
      </c>
      <c r="F357" s="546">
        <v>3.3</v>
      </c>
      <c r="G357" s="547">
        <v>12.57</v>
      </c>
      <c r="H357" s="548"/>
      <c r="I357" s="547">
        <f>F357*G357</f>
        <v>41.481000000000002</v>
      </c>
      <c r="J357" s="549"/>
      <c r="K357" s="548"/>
      <c r="L357" s="547"/>
      <c r="M357" s="549"/>
      <c r="N357" s="550"/>
      <c r="O357" s="551"/>
    </row>
    <row r="358" spans="1:15" s="552" customFormat="1" ht="18.75" customHeight="1" x14ac:dyDescent="0.25">
      <c r="A358" s="543"/>
      <c r="B358" s="544"/>
      <c r="C358" s="513">
        <v>246</v>
      </c>
      <c r="D358" s="545" t="s">
        <v>766</v>
      </c>
      <c r="E358" s="514" t="s">
        <v>42</v>
      </c>
      <c r="F358" s="546">
        <v>3.3</v>
      </c>
      <c r="G358" s="547">
        <v>9.4499999999999993</v>
      </c>
      <c r="H358" s="548"/>
      <c r="I358" s="547">
        <f>F358*G358</f>
        <v>31.184999999999995</v>
      </c>
      <c r="J358" s="549"/>
      <c r="K358" s="548"/>
      <c r="L358" s="547"/>
      <c r="M358" s="549"/>
      <c r="N358" s="550"/>
      <c r="O358" s="551"/>
    </row>
    <row r="359" spans="1:15" s="552" customFormat="1" ht="18.75" customHeight="1" x14ac:dyDescent="0.25">
      <c r="A359" s="543"/>
      <c r="B359" s="544"/>
      <c r="C359" s="513"/>
      <c r="D359" s="545" t="s">
        <v>44</v>
      </c>
      <c r="E359" s="514" t="s">
        <v>41</v>
      </c>
      <c r="F359" s="546">
        <v>1</v>
      </c>
      <c r="G359" s="547">
        <v>4.58</v>
      </c>
      <c r="H359" s="548">
        <f t="shared" ref="H359:H367" si="43">F359*G359</f>
        <v>4.58</v>
      </c>
      <c r="I359" s="547"/>
      <c r="J359" s="549"/>
      <c r="K359" s="548"/>
      <c r="L359" s="547"/>
      <c r="M359" s="549"/>
      <c r="N359" s="550"/>
      <c r="O359" s="551"/>
    </row>
    <row r="360" spans="1:15" s="552" customFormat="1" ht="18.75" customHeight="1" x14ac:dyDescent="0.25">
      <c r="A360" s="543"/>
      <c r="B360" s="544"/>
      <c r="C360" s="513" t="s">
        <v>28</v>
      </c>
      <c r="D360" s="545" t="s">
        <v>14</v>
      </c>
      <c r="E360" s="514" t="s">
        <v>41</v>
      </c>
      <c r="F360" s="546">
        <v>1</v>
      </c>
      <c r="G360" s="547">
        <v>94.8</v>
      </c>
      <c r="H360" s="548">
        <f t="shared" si="43"/>
        <v>94.8</v>
      </c>
      <c r="I360" s="547"/>
      <c r="J360" s="549"/>
      <c r="K360" s="548"/>
      <c r="L360" s="547"/>
      <c r="M360" s="549"/>
      <c r="N360" s="550"/>
      <c r="O360" s="551"/>
    </row>
    <row r="361" spans="1:15" s="552" customFormat="1" ht="18.75" customHeight="1" x14ac:dyDescent="0.25">
      <c r="A361" s="543"/>
      <c r="B361" s="544"/>
      <c r="C361" s="513"/>
      <c r="D361" s="545" t="s">
        <v>10</v>
      </c>
      <c r="E361" s="514" t="s">
        <v>41</v>
      </c>
      <c r="F361" s="546">
        <v>1</v>
      </c>
      <c r="G361" s="547">
        <v>5.88</v>
      </c>
      <c r="H361" s="548">
        <f t="shared" si="43"/>
        <v>5.88</v>
      </c>
      <c r="I361" s="547"/>
      <c r="J361" s="549"/>
      <c r="K361" s="548"/>
      <c r="L361" s="547"/>
      <c r="M361" s="549"/>
      <c r="N361" s="550"/>
      <c r="O361" s="551"/>
    </row>
    <row r="362" spans="1:15" s="552" customFormat="1" ht="18.75" customHeight="1" x14ac:dyDescent="0.25">
      <c r="A362" s="543"/>
      <c r="B362" s="544"/>
      <c r="C362" s="513"/>
      <c r="D362" s="545" t="s">
        <v>11</v>
      </c>
      <c r="E362" s="514" t="s">
        <v>41</v>
      </c>
      <c r="F362" s="546">
        <v>1</v>
      </c>
      <c r="G362" s="547">
        <v>25.92</v>
      </c>
      <c r="H362" s="548">
        <f t="shared" si="43"/>
        <v>25.92</v>
      </c>
      <c r="I362" s="547"/>
      <c r="J362" s="549"/>
      <c r="K362" s="548"/>
      <c r="L362" s="547"/>
      <c r="M362" s="549"/>
      <c r="N362" s="550"/>
      <c r="O362" s="551"/>
    </row>
    <row r="363" spans="1:15" s="552" customFormat="1" ht="18.75" customHeight="1" x14ac:dyDescent="0.25">
      <c r="A363" s="543"/>
      <c r="B363" s="544"/>
      <c r="C363" s="513"/>
      <c r="D363" s="545" t="s">
        <v>12</v>
      </c>
      <c r="E363" s="514" t="s">
        <v>41</v>
      </c>
      <c r="F363" s="546">
        <v>1</v>
      </c>
      <c r="G363" s="547">
        <v>1.92</v>
      </c>
      <c r="H363" s="548">
        <f t="shared" si="43"/>
        <v>1.92</v>
      </c>
      <c r="I363" s="547"/>
      <c r="J363" s="549"/>
      <c r="K363" s="548"/>
      <c r="L363" s="547"/>
      <c r="M363" s="549"/>
      <c r="N363" s="550"/>
      <c r="O363" s="551"/>
    </row>
    <row r="364" spans="1:15" s="552" customFormat="1" ht="18.75" customHeight="1" x14ac:dyDescent="0.25">
      <c r="A364" s="543"/>
      <c r="B364" s="544"/>
      <c r="C364" s="513" t="s">
        <v>28</v>
      </c>
      <c r="D364" s="545" t="s">
        <v>13</v>
      </c>
      <c r="E364" s="514" t="s">
        <v>41</v>
      </c>
      <c r="F364" s="546">
        <v>1</v>
      </c>
      <c r="G364" s="547">
        <v>392.9</v>
      </c>
      <c r="H364" s="548">
        <f t="shared" si="43"/>
        <v>392.9</v>
      </c>
      <c r="I364" s="547"/>
      <c r="J364" s="549"/>
      <c r="K364" s="548"/>
      <c r="L364" s="547"/>
      <c r="M364" s="549"/>
      <c r="N364" s="550"/>
      <c r="O364" s="551"/>
    </row>
    <row r="365" spans="1:15" s="552" customFormat="1" ht="18.75" customHeight="1" x14ac:dyDescent="0.25">
      <c r="A365" s="543"/>
      <c r="B365" s="544"/>
      <c r="C365" s="513"/>
      <c r="D365" s="545" t="s">
        <v>36</v>
      </c>
      <c r="E365" s="514" t="s">
        <v>48</v>
      </c>
      <c r="F365" s="546">
        <v>0.25</v>
      </c>
      <c r="G365" s="547">
        <v>2</v>
      </c>
      <c r="H365" s="548">
        <f t="shared" si="43"/>
        <v>0.5</v>
      </c>
      <c r="I365" s="547"/>
      <c r="J365" s="549"/>
      <c r="K365" s="548"/>
      <c r="L365" s="547"/>
      <c r="M365" s="549"/>
      <c r="N365" s="550"/>
      <c r="O365" s="551"/>
    </row>
    <row r="366" spans="1:15" s="552" customFormat="1" ht="18.75" customHeight="1" x14ac:dyDescent="0.25">
      <c r="A366" s="543"/>
      <c r="B366" s="544"/>
      <c r="C366" s="513"/>
      <c r="D366" s="545" t="s">
        <v>45</v>
      </c>
      <c r="E366" s="514" t="s">
        <v>41</v>
      </c>
      <c r="F366" s="546">
        <v>2</v>
      </c>
      <c r="G366" s="547">
        <v>2.2000000000000002</v>
      </c>
      <c r="H366" s="548">
        <f t="shared" si="43"/>
        <v>4.4000000000000004</v>
      </c>
      <c r="I366" s="547"/>
      <c r="J366" s="549"/>
      <c r="K366" s="548"/>
      <c r="L366" s="547"/>
      <c r="M366" s="549"/>
      <c r="N366" s="550"/>
      <c r="O366" s="551"/>
    </row>
    <row r="367" spans="1:15" s="552" customFormat="1" ht="18.75" customHeight="1" x14ac:dyDescent="0.25">
      <c r="A367" s="543"/>
      <c r="B367" s="544"/>
      <c r="C367" s="513"/>
      <c r="D367" s="545" t="s">
        <v>47</v>
      </c>
      <c r="E367" s="514" t="s">
        <v>41</v>
      </c>
      <c r="F367" s="546">
        <v>2</v>
      </c>
      <c r="G367" s="547">
        <v>0.33</v>
      </c>
      <c r="H367" s="548">
        <f t="shared" si="43"/>
        <v>0.66</v>
      </c>
      <c r="I367" s="547"/>
      <c r="J367" s="549"/>
      <c r="K367" s="548"/>
      <c r="L367" s="547"/>
      <c r="M367" s="549"/>
      <c r="N367" s="550"/>
      <c r="O367" s="551"/>
    </row>
    <row r="368" spans="1:15" s="23" customFormat="1" ht="14.25" x14ac:dyDescent="0.2">
      <c r="A368" s="136"/>
      <c r="B368" s="128"/>
      <c r="C368" s="32"/>
      <c r="D368" s="123"/>
      <c r="E368" s="32"/>
      <c r="F368" s="119"/>
      <c r="G368" s="33"/>
      <c r="H368" s="106"/>
      <c r="I368" s="28"/>
      <c r="J368" s="107"/>
      <c r="K368" s="33"/>
      <c r="L368" s="33"/>
      <c r="M368" s="109"/>
      <c r="N368" s="91"/>
      <c r="O368" s="91"/>
    </row>
    <row r="369" spans="1:15" s="23" customFormat="1" ht="33.75" x14ac:dyDescent="0.2">
      <c r="A369" s="223" t="s">
        <v>39</v>
      </c>
      <c r="B369" s="224" t="s">
        <v>40</v>
      </c>
      <c r="C369" s="225" t="s">
        <v>339</v>
      </c>
      <c r="D369" s="226" t="s">
        <v>1052</v>
      </c>
      <c r="E369" s="225" t="s">
        <v>41</v>
      </c>
      <c r="F369" s="515">
        <f>'MEMÓRIA DE CÁLCULO'!S39</f>
        <v>6</v>
      </c>
      <c r="G369" s="228"/>
      <c r="H369" s="229">
        <f>ROUND(SUM(H370:H374),2)</f>
        <v>95.07</v>
      </c>
      <c r="I369" s="230">
        <f>ROUND(SUM(I370:I374),2)</f>
        <v>66.06</v>
      </c>
      <c r="J369" s="231">
        <f>(H369+I369)</f>
        <v>161.13</v>
      </c>
      <c r="K369" s="229">
        <f>F369*H369</f>
        <v>570.41999999999996</v>
      </c>
      <c r="L369" s="230">
        <f>F369*I369</f>
        <v>396.36</v>
      </c>
      <c r="M369" s="231">
        <f>K369+L369</f>
        <v>966.78</v>
      </c>
      <c r="N369" s="227">
        <f>M369*$N$7</f>
        <v>261.80402399999997</v>
      </c>
      <c r="O369" s="227">
        <f>M369+N369</f>
        <v>1228.584024</v>
      </c>
    </row>
    <row r="370" spans="1:15" s="552" customFormat="1" ht="18.75" customHeight="1" x14ac:dyDescent="0.25">
      <c r="A370" s="543"/>
      <c r="B370" s="544"/>
      <c r="C370" s="513">
        <v>2696</v>
      </c>
      <c r="D370" s="545" t="s">
        <v>765</v>
      </c>
      <c r="E370" s="514" t="s">
        <v>42</v>
      </c>
      <c r="F370" s="546">
        <v>3</v>
      </c>
      <c r="G370" s="547">
        <v>12.57</v>
      </c>
      <c r="H370" s="548"/>
      <c r="I370" s="547">
        <f>F370*G370</f>
        <v>37.71</v>
      </c>
      <c r="J370" s="549"/>
      <c r="K370" s="548"/>
      <c r="L370" s="547"/>
      <c r="M370" s="549"/>
      <c r="N370" s="550"/>
      <c r="O370" s="551"/>
    </row>
    <row r="371" spans="1:15" s="552" customFormat="1" ht="18.75" customHeight="1" x14ac:dyDescent="0.25">
      <c r="A371" s="543"/>
      <c r="B371" s="544"/>
      <c r="C371" s="513">
        <v>246</v>
      </c>
      <c r="D371" s="545" t="s">
        <v>766</v>
      </c>
      <c r="E371" s="514" t="s">
        <v>42</v>
      </c>
      <c r="F371" s="546">
        <v>3</v>
      </c>
      <c r="G371" s="547">
        <v>9.4499999999999993</v>
      </c>
      <c r="H371" s="548"/>
      <c r="I371" s="547">
        <f>F371*G371</f>
        <v>28.349999999999998</v>
      </c>
      <c r="J371" s="549"/>
      <c r="K371" s="548"/>
      <c r="L371" s="547"/>
      <c r="M371" s="549"/>
      <c r="N371" s="550"/>
      <c r="O371" s="551"/>
    </row>
    <row r="372" spans="1:15" s="552" customFormat="1" ht="18.75" customHeight="1" x14ac:dyDescent="0.25">
      <c r="A372" s="543"/>
      <c r="B372" s="544"/>
      <c r="C372" s="513"/>
      <c r="D372" s="545" t="s">
        <v>36</v>
      </c>
      <c r="E372" s="514" t="s">
        <v>48</v>
      </c>
      <c r="F372" s="546">
        <v>0.1</v>
      </c>
      <c r="G372" s="547">
        <v>2</v>
      </c>
      <c r="H372" s="548">
        <f t="shared" ref="H372:H374" si="44">F372*G372</f>
        <v>0.2</v>
      </c>
      <c r="I372" s="547"/>
      <c r="J372" s="549"/>
      <c r="K372" s="548"/>
      <c r="L372" s="547"/>
      <c r="M372" s="549"/>
      <c r="N372" s="550"/>
      <c r="O372" s="551"/>
    </row>
    <row r="373" spans="1:15" s="552" customFormat="1" ht="18.75" customHeight="1" x14ac:dyDescent="0.25">
      <c r="A373" s="543"/>
      <c r="B373" s="544"/>
      <c r="C373" s="513" t="s">
        <v>28</v>
      </c>
      <c r="D373" s="545" t="s">
        <v>486</v>
      </c>
      <c r="E373" s="514" t="s">
        <v>41</v>
      </c>
      <c r="F373" s="546">
        <v>1</v>
      </c>
      <c r="G373" s="547">
        <v>94.8</v>
      </c>
      <c r="H373" s="548">
        <f t="shared" si="44"/>
        <v>94.8</v>
      </c>
      <c r="I373" s="547"/>
      <c r="J373" s="549"/>
      <c r="K373" s="548"/>
      <c r="L373" s="547"/>
      <c r="M373" s="549"/>
      <c r="N373" s="550"/>
      <c r="O373" s="551"/>
    </row>
    <row r="374" spans="1:15" s="552" customFormat="1" ht="18.75" customHeight="1" x14ac:dyDescent="0.25">
      <c r="A374" s="543"/>
      <c r="B374" s="544"/>
      <c r="C374" s="513"/>
      <c r="D374" s="545" t="s">
        <v>35</v>
      </c>
      <c r="E374" s="514" t="s">
        <v>41</v>
      </c>
      <c r="F374" s="546">
        <v>0.56000000000000005</v>
      </c>
      <c r="G374" s="547">
        <v>0.13</v>
      </c>
      <c r="H374" s="548">
        <f t="shared" si="44"/>
        <v>7.2800000000000004E-2</v>
      </c>
      <c r="I374" s="547"/>
      <c r="J374" s="549"/>
      <c r="K374" s="548"/>
      <c r="L374" s="547"/>
      <c r="M374" s="549"/>
      <c r="N374" s="550"/>
      <c r="O374" s="551"/>
    </row>
    <row r="375" spans="1:15" s="23" customFormat="1" ht="14.25" x14ac:dyDescent="0.2">
      <c r="A375" s="136"/>
      <c r="B375" s="128"/>
      <c r="C375" s="32"/>
      <c r="D375" s="123"/>
      <c r="E375" s="32"/>
      <c r="F375" s="119"/>
      <c r="G375" s="33"/>
      <c r="H375" s="106"/>
      <c r="I375" s="28"/>
      <c r="J375" s="107"/>
      <c r="K375" s="33"/>
      <c r="L375" s="33"/>
      <c r="M375" s="109"/>
      <c r="N375" s="91"/>
      <c r="O375" s="91"/>
    </row>
    <row r="376" spans="1:15" s="23" customFormat="1" ht="14.25" x14ac:dyDescent="0.2">
      <c r="A376" s="136"/>
      <c r="B376" s="128"/>
      <c r="C376" s="32"/>
      <c r="D376" s="123"/>
      <c r="E376" s="32"/>
      <c r="F376" s="119"/>
      <c r="G376" s="33"/>
      <c r="H376" s="106"/>
      <c r="I376" s="28"/>
      <c r="J376" s="107"/>
      <c r="K376" s="33"/>
      <c r="L376" s="33"/>
      <c r="M376" s="109"/>
      <c r="N376" s="91"/>
      <c r="O376" s="91"/>
    </row>
    <row r="377" spans="1:15" s="23" customFormat="1" ht="33.75" x14ac:dyDescent="0.2">
      <c r="A377" s="223" t="s">
        <v>39</v>
      </c>
      <c r="B377" s="224" t="s">
        <v>52</v>
      </c>
      <c r="C377" s="225" t="s">
        <v>340</v>
      </c>
      <c r="D377" s="226" t="s">
        <v>205</v>
      </c>
      <c r="E377" s="225" t="s">
        <v>41</v>
      </c>
      <c r="F377" s="515">
        <f>'MEMÓRIA DE CÁLCULO'!V39</f>
        <v>1</v>
      </c>
      <c r="G377" s="228"/>
      <c r="H377" s="229">
        <f>ROUND(SUM(H378:H386),2)</f>
        <v>293.45999999999998</v>
      </c>
      <c r="I377" s="230">
        <f>ROUND(SUM(I378:I386),2)</f>
        <v>60.56</v>
      </c>
      <c r="J377" s="231">
        <f>(H377+I377)</f>
        <v>354.02</v>
      </c>
      <c r="K377" s="229">
        <f>F377*H377</f>
        <v>293.45999999999998</v>
      </c>
      <c r="L377" s="230">
        <f>F377*I377</f>
        <v>60.56</v>
      </c>
      <c r="M377" s="231">
        <f>K377+L377</f>
        <v>354.02</v>
      </c>
      <c r="N377" s="227">
        <f>M377*$N$7</f>
        <v>95.868615999999989</v>
      </c>
      <c r="O377" s="227">
        <f>M377+N377</f>
        <v>449.88861599999996</v>
      </c>
    </row>
    <row r="378" spans="1:15" s="552" customFormat="1" ht="18.75" customHeight="1" x14ac:dyDescent="0.25">
      <c r="A378" s="543"/>
      <c r="B378" s="544"/>
      <c r="C378" s="513">
        <v>2696</v>
      </c>
      <c r="D378" s="545" t="s">
        <v>765</v>
      </c>
      <c r="E378" s="514" t="s">
        <v>42</v>
      </c>
      <c r="F378" s="546">
        <v>2.75</v>
      </c>
      <c r="G378" s="547">
        <v>12.57</v>
      </c>
      <c r="H378" s="548"/>
      <c r="I378" s="547">
        <f>F378*G378</f>
        <v>34.567500000000003</v>
      </c>
      <c r="J378" s="549"/>
      <c r="K378" s="548"/>
      <c r="L378" s="547"/>
      <c r="M378" s="549"/>
      <c r="N378" s="550"/>
      <c r="O378" s="551"/>
    </row>
    <row r="379" spans="1:15" s="552" customFormat="1" ht="18.75" customHeight="1" x14ac:dyDescent="0.25">
      <c r="A379" s="543"/>
      <c r="B379" s="544"/>
      <c r="C379" s="513">
        <v>246</v>
      </c>
      <c r="D379" s="545" t="s">
        <v>766</v>
      </c>
      <c r="E379" s="514" t="s">
        <v>42</v>
      </c>
      <c r="F379" s="546">
        <v>2.75</v>
      </c>
      <c r="G379" s="547">
        <v>9.4499999999999993</v>
      </c>
      <c r="H379" s="548"/>
      <c r="I379" s="547">
        <f>F379*G379</f>
        <v>25.987499999999997</v>
      </c>
      <c r="J379" s="549"/>
      <c r="K379" s="548"/>
      <c r="L379" s="547"/>
      <c r="M379" s="549"/>
      <c r="N379" s="550"/>
      <c r="O379" s="551"/>
    </row>
    <row r="380" spans="1:15" s="552" customFormat="1" ht="18.75" customHeight="1" x14ac:dyDescent="0.25">
      <c r="A380" s="543"/>
      <c r="B380" s="544"/>
      <c r="C380" s="513" t="s">
        <v>28</v>
      </c>
      <c r="D380" s="545" t="s">
        <v>53</v>
      </c>
      <c r="E380" s="514" t="s">
        <v>41</v>
      </c>
      <c r="F380" s="546">
        <v>1</v>
      </c>
      <c r="G380" s="547">
        <v>203.23</v>
      </c>
      <c r="H380" s="548">
        <f>F380*G380</f>
        <v>203.23</v>
      </c>
      <c r="I380" s="547"/>
      <c r="J380" s="549"/>
      <c r="K380" s="548"/>
      <c r="L380" s="547"/>
      <c r="M380" s="549"/>
      <c r="N380" s="550"/>
      <c r="O380" s="551"/>
    </row>
    <row r="381" spans="1:15" s="552" customFormat="1" ht="18.75" customHeight="1" x14ac:dyDescent="0.25">
      <c r="A381" s="543"/>
      <c r="B381" s="544"/>
      <c r="C381" s="513"/>
      <c r="D381" s="545" t="s">
        <v>49</v>
      </c>
      <c r="E381" s="514" t="s">
        <v>41</v>
      </c>
      <c r="F381" s="546">
        <v>1</v>
      </c>
      <c r="G381" s="547">
        <v>67.290000000000006</v>
      </c>
      <c r="H381" s="548">
        <f t="shared" ref="H381:H386" si="45">F381*G381</f>
        <v>67.290000000000006</v>
      </c>
      <c r="I381" s="547"/>
      <c r="J381" s="549"/>
      <c r="K381" s="548"/>
      <c r="L381" s="547"/>
      <c r="M381" s="549"/>
      <c r="N381" s="550"/>
      <c r="O381" s="551"/>
    </row>
    <row r="382" spans="1:15" s="552" customFormat="1" ht="18.75" customHeight="1" x14ac:dyDescent="0.25">
      <c r="A382" s="543"/>
      <c r="B382" s="544"/>
      <c r="C382" s="513"/>
      <c r="D382" s="545" t="s">
        <v>50</v>
      </c>
      <c r="E382" s="514" t="s">
        <v>41</v>
      </c>
      <c r="F382" s="546">
        <v>1</v>
      </c>
      <c r="G382" s="547">
        <v>15.69</v>
      </c>
      <c r="H382" s="548">
        <f t="shared" si="45"/>
        <v>15.69</v>
      </c>
      <c r="I382" s="547"/>
      <c r="J382" s="549"/>
      <c r="K382" s="548"/>
      <c r="L382" s="547"/>
      <c r="M382" s="549"/>
      <c r="N382" s="550"/>
      <c r="O382" s="551"/>
    </row>
    <row r="383" spans="1:15" s="552" customFormat="1" ht="18.75" customHeight="1" x14ac:dyDescent="0.25">
      <c r="A383" s="543"/>
      <c r="B383" s="544"/>
      <c r="C383" s="513"/>
      <c r="D383" s="545" t="s">
        <v>45</v>
      </c>
      <c r="E383" s="514" t="s">
        <v>41</v>
      </c>
      <c r="F383" s="546">
        <v>2</v>
      </c>
      <c r="G383" s="547">
        <v>2.2000000000000002</v>
      </c>
      <c r="H383" s="548">
        <f t="shared" si="45"/>
        <v>4.4000000000000004</v>
      </c>
      <c r="I383" s="547"/>
      <c r="J383" s="549"/>
      <c r="K383" s="548"/>
      <c r="L383" s="547"/>
      <c r="M383" s="549"/>
      <c r="N383" s="550"/>
      <c r="O383" s="551"/>
    </row>
    <row r="384" spans="1:15" s="552" customFormat="1" ht="18.75" customHeight="1" x14ac:dyDescent="0.25">
      <c r="A384" s="543"/>
      <c r="B384" s="544"/>
      <c r="C384" s="513"/>
      <c r="D384" s="545" t="s">
        <v>46</v>
      </c>
      <c r="E384" s="514" t="s">
        <v>41</v>
      </c>
      <c r="F384" s="546">
        <v>1</v>
      </c>
      <c r="G384" s="547">
        <v>2.4</v>
      </c>
      <c r="H384" s="548">
        <f t="shared" si="45"/>
        <v>2.4</v>
      </c>
      <c r="I384" s="547"/>
      <c r="J384" s="549"/>
      <c r="K384" s="548"/>
      <c r="L384" s="547"/>
      <c r="M384" s="549"/>
      <c r="N384" s="550"/>
      <c r="O384" s="551"/>
    </row>
    <row r="385" spans="1:15" s="552" customFormat="1" ht="18.75" customHeight="1" x14ac:dyDescent="0.25">
      <c r="A385" s="543"/>
      <c r="B385" s="544"/>
      <c r="C385" s="513"/>
      <c r="D385" s="545" t="s">
        <v>47</v>
      </c>
      <c r="E385" s="514" t="s">
        <v>41</v>
      </c>
      <c r="F385" s="546">
        <v>2</v>
      </c>
      <c r="G385" s="547">
        <v>0.17</v>
      </c>
      <c r="H385" s="548">
        <f t="shared" si="45"/>
        <v>0.34</v>
      </c>
      <c r="I385" s="547"/>
      <c r="J385" s="549"/>
      <c r="K385" s="548"/>
      <c r="L385" s="547"/>
      <c r="M385" s="549"/>
      <c r="N385" s="550"/>
      <c r="O385" s="551"/>
    </row>
    <row r="386" spans="1:15" s="552" customFormat="1" ht="18.75" customHeight="1" x14ac:dyDescent="0.25">
      <c r="A386" s="543"/>
      <c r="B386" s="544"/>
      <c r="C386" s="513"/>
      <c r="D386" s="545" t="s">
        <v>35</v>
      </c>
      <c r="E386" s="514" t="s">
        <v>41</v>
      </c>
      <c r="F386" s="546">
        <v>0.84</v>
      </c>
      <c r="G386" s="547">
        <v>0.13</v>
      </c>
      <c r="H386" s="548">
        <f t="shared" si="45"/>
        <v>0.10920000000000001</v>
      </c>
      <c r="I386" s="547"/>
      <c r="J386" s="549"/>
      <c r="K386" s="548"/>
      <c r="L386" s="547"/>
      <c r="M386" s="549"/>
      <c r="N386" s="550"/>
      <c r="O386" s="551"/>
    </row>
    <row r="387" spans="1:15" s="23" customFormat="1" ht="14.25" x14ac:dyDescent="0.2">
      <c r="A387" s="136"/>
      <c r="B387" s="128"/>
      <c r="C387" s="32"/>
      <c r="D387" s="123"/>
      <c r="E387" s="32"/>
      <c r="F387" s="119"/>
      <c r="G387" s="33"/>
      <c r="H387" s="106"/>
      <c r="I387" s="28"/>
      <c r="J387" s="107"/>
      <c r="K387" s="33"/>
      <c r="L387" s="33"/>
      <c r="M387" s="109"/>
      <c r="N387" s="91"/>
      <c r="O387" s="91"/>
    </row>
    <row r="388" spans="1:15" s="23" customFormat="1" ht="22.5" x14ac:dyDescent="0.2">
      <c r="A388" s="223" t="s">
        <v>39</v>
      </c>
      <c r="B388" s="224" t="s">
        <v>402</v>
      </c>
      <c r="C388" s="225" t="s">
        <v>341</v>
      </c>
      <c r="D388" s="226" t="s">
        <v>1104</v>
      </c>
      <c r="E388" s="225" t="s">
        <v>56</v>
      </c>
      <c r="F388" s="515">
        <f>(3+3.8)*2</f>
        <v>13.6</v>
      </c>
      <c r="G388" s="228"/>
      <c r="H388" s="229">
        <f>ROUND(SUM(H389:H393),2)</f>
        <v>73.010000000000005</v>
      </c>
      <c r="I388" s="230">
        <f>ROUND(SUM(I389:I393),2)</f>
        <v>42.98</v>
      </c>
      <c r="J388" s="231">
        <f>(H388+I388)</f>
        <v>115.99000000000001</v>
      </c>
      <c r="K388" s="229">
        <f>F388*H388</f>
        <v>992.93600000000004</v>
      </c>
      <c r="L388" s="230">
        <f>F388*I388</f>
        <v>584.52799999999991</v>
      </c>
      <c r="M388" s="231">
        <f>K388+L388</f>
        <v>1577.4639999999999</v>
      </c>
      <c r="N388" s="227">
        <f>M388*$N$7</f>
        <v>427.17725119999994</v>
      </c>
      <c r="O388" s="227">
        <f>M388+N388</f>
        <v>2004.6412511999999</v>
      </c>
    </row>
    <row r="389" spans="1:15" s="552" customFormat="1" ht="15" customHeight="1" x14ac:dyDescent="0.25">
      <c r="A389" s="543"/>
      <c r="B389" s="544" t="s">
        <v>715</v>
      </c>
      <c r="C389" s="513">
        <v>4750</v>
      </c>
      <c r="D389" s="545" t="s">
        <v>714</v>
      </c>
      <c r="E389" s="514" t="s">
        <v>42</v>
      </c>
      <c r="F389" s="546">
        <v>2</v>
      </c>
      <c r="G389" s="547">
        <v>12.57</v>
      </c>
      <c r="H389" s="548"/>
      <c r="I389" s="547">
        <f>F389*G389</f>
        <v>25.14</v>
      </c>
      <c r="J389" s="549"/>
      <c r="K389" s="548"/>
      <c r="L389" s="547"/>
      <c r="M389" s="549"/>
      <c r="N389" s="550"/>
      <c r="O389" s="551"/>
    </row>
    <row r="390" spans="1:15" s="552" customFormat="1" ht="15" customHeight="1" x14ac:dyDescent="0.25">
      <c r="A390" s="543"/>
      <c r="B390" s="544" t="s">
        <v>658</v>
      </c>
      <c r="C390" s="513">
        <v>6111</v>
      </c>
      <c r="D390" s="545" t="s">
        <v>670</v>
      </c>
      <c r="E390" s="514" t="s">
        <v>42</v>
      </c>
      <c r="F390" s="546">
        <v>2</v>
      </c>
      <c r="G390" s="547">
        <v>8.92</v>
      </c>
      <c r="H390" s="548"/>
      <c r="I390" s="547">
        <f t="shared" ref="I390" si="46">F390*G390</f>
        <v>17.84</v>
      </c>
      <c r="J390" s="549"/>
      <c r="K390" s="548"/>
      <c r="L390" s="547"/>
      <c r="M390" s="549"/>
      <c r="N390" s="550"/>
      <c r="O390" s="551"/>
    </row>
    <row r="391" spans="1:15" s="552" customFormat="1" ht="18.75" customHeight="1" x14ac:dyDescent="0.25">
      <c r="A391" s="543"/>
      <c r="B391" s="544"/>
      <c r="C391" s="513"/>
      <c r="D391" s="545" t="s">
        <v>400</v>
      </c>
      <c r="E391" s="514" t="s">
        <v>233</v>
      </c>
      <c r="F391" s="546">
        <v>5.1999999999999998E-3</v>
      </c>
      <c r="G391" s="547">
        <v>54.27</v>
      </c>
      <c r="H391" s="548">
        <f>F391*G391</f>
        <v>0.28220400000000001</v>
      </c>
      <c r="I391" s="547"/>
      <c r="J391" s="549"/>
      <c r="K391" s="548"/>
      <c r="L391" s="547"/>
      <c r="M391" s="549"/>
      <c r="N391" s="550"/>
      <c r="O391" s="551"/>
    </row>
    <row r="392" spans="1:15" s="552" customFormat="1" ht="18.75" customHeight="1" x14ac:dyDescent="0.25">
      <c r="A392" s="543"/>
      <c r="B392" s="544"/>
      <c r="C392" s="513"/>
      <c r="D392" s="545" t="s">
        <v>232</v>
      </c>
      <c r="E392" s="514" t="s">
        <v>48</v>
      </c>
      <c r="F392" s="546">
        <v>2.27</v>
      </c>
      <c r="G392" s="547">
        <v>0.44</v>
      </c>
      <c r="H392" s="548">
        <f t="shared" ref="H392:H393" si="47">F392*G392</f>
        <v>0.99880000000000002</v>
      </c>
      <c r="I392" s="547"/>
      <c r="J392" s="549"/>
      <c r="K392" s="548"/>
      <c r="L392" s="547"/>
      <c r="M392" s="549"/>
      <c r="N392" s="550"/>
      <c r="O392" s="551"/>
    </row>
    <row r="393" spans="1:15" s="552" customFormat="1" ht="18.75" customHeight="1" x14ac:dyDescent="0.25">
      <c r="A393" s="543"/>
      <c r="B393" s="544" t="s">
        <v>1103</v>
      </c>
      <c r="C393" s="513"/>
      <c r="D393" s="545" t="s">
        <v>401</v>
      </c>
      <c r="E393" s="514" t="s">
        <v>58</v>
      </c>
      <c r="F393" s="546">
        <v>0.6</v>
      </c>
      <c r="G393" s="547">
        <f>239.08*0.5</f>
        <v>119.54</v>
      </c>
      <c r="H393" s="548">
        <f t="shared" si="47"/>
        <v>71.724000000000004</v>
      </c>
      <c r="I393" s="547"/>
      <c r="J393" s="549"/>
      <c r="K393" s="548"/>
      <c r="L393" s="547"/>
      <c r="M393" s="549"/>
      <c r="N393" s="550"/>
      <c r="O393" s="551"/>
    </row>
    <row r="394" spans="1:15" s="23" customFormat="1" ht="14.25" x14ac:dyDescent="0.2">
      <c r="A394" s="136"/>
      <c r="B394" s="128"/>
      <c r="C394" s="32"/>
      <c r="D394" s="123"/>
      <c r="E394" s="32"/>
      <c r="F394" s="119"/>
      <c r="G394" s="33"/>
      <c r="H394" s="106"/>
      <c r="I394" s="28"/>
      <c r="J394" s="107"/>
      <c r="K394" s="33"/>
      <c r="L394" s="33"/>
      <c r="M394" s="109"/>
      <c r="N394" s="91"/>
      <c r="O394" s="91"/>
    </row>
    <row r="395" spans="1:15" s="23" customFormat="1" ht="22.5" x14ac:dyDescent="0.2">
      <c r="A395" s="223" t="s">
        <v>39</v>
      </c>
      <c r="B395" s="224" t="s">
        <v>404</v>
      </c>
      <c r="C395" s="225" t="s">
        <v>342</v>
      </c>
      <c r="D395" s="226" t="s">
        <v>505</v>
      </c>
      <c r="E395" s="225" t="s">
        <v>41</v>
      </c>
      <c r="F395" s="515">
        <v>7</v>
      </c>
      <c r="G395" s="228"/>
      <c r="H395" s="229">
        <f>ROUND(SUM(H396:H398),2)</f>
        <v>0.11</v>
      </c>
      <c r="I395" s="230">
        <f>ROUND(SUM(I396:I398),2)</f>
        <v>22.02</v>
      </c>
      <c r="J395" s="231">
        <f>(H395+I395)</f>
        <v>22.13</v>
      </c>
      <c r="K395" s="229">
        <f>F395*H395</f>
        <v>0.77</v>
      </c>
      <c r="L395" s="230">
        <f>F395*I395</f>
        <v>154.13999999999999</v>
      </c>
      <c r="M395" s="231">
        <f>K395+L395</f>
        <v>154.91</v>
      </c>
      <c r="N395" s="227">
        <f>M395*$N$7</f>
        <v>41.949627999999997</v>
      </c>
      <c r="O395" s="227">
        <f>M395+N395</f>
        <v>196.85962799999999</v>
      </c>
    </row>
    <row r="396" spans="1:15" s="552" customFormat="1" ht="18.75" customHeight="1" x14ac:dyDescent="0.25">
      <c r="A396" s="543"/>
      <c r="B396" s="544"/>
      <c r="C396" s="513">
        <v>2696</v>
      </c>
      <c r="D396" s="545" t="s">
        <v>765</v>
      </c>
      <c r="E396" s="514" t="s">
        <v>42</v>
      </c>
      <c r="F396" s="546">
        <v>1</v>
      </c>
      <c r="G396" s="547">
        <v>12.57</v>
      </c>
      <c r="H396" s="548"/>
      <c r="I396" s="547">
        <f>F396*G396</f>
        <v>12.57</v>
      </c>
      <c r="J396" s="549"/>
      <c r="K396" s="548"/>
      <c r="L396" s="547"/>
      <c r="M396" s="549"/>
      <c r="N396" s="550"/>
      <c r="O396" s="551"/>
    </row>
    <row r="397" spans="1:15" s="552" customFormat="1" ht="18.75" customHeight="1" x14ac:dyDescent="0.25">
      <c r="A397" s="543"/>
      <c r="B397" s="544"/>
      <c r="C397" s="513">
        <v>246</v>
      </c>
      <c r="D397" s="545" t="s">
        <v>766</v>
      </c>
      <c r="E397" s="514" t="s">
        <v>42</v>
      </c>
      <c r="F397" s="546">
        <v>1</v>
      </c>
      <c r="G397" s="547">
        <v>9.4499999999999993</v>
      </c>
      <c r="H397" s="548"/>
      <c r="I397" s="547">
        <f>F397*G397</f>
        <v>9.4499999999999993</v>
      </c>
      <c r="J397" s="549"/>
      <c r="K397" s="548"/>
      <c r="L397" s="547"/>
      <c r="M397" s="549"/>
      <c r="N397" s="550"/>
      <c r="O397" s="551"/>
    </row>
    <row r="398" spans="1:15" s="552" customFormat="1" ht="18.75" customHeight="1" x14ac:dyDescent="0.25">
      <c r="A398" s="543"/>
      <c r="B398" s="544"/>
      <c r="C398" s="513"/>
      <c r="D398" s="545" t="s">
        <v>35</v>
      </c>
      <c r="E398" s="514" t="s">
        <v>41</v>
      </c>
      <c r="F398" s="546">
        <v>0.84</v>
      </c>
      <c r="G398" s="547">
        <v>0.13</v>
      </c>
      <c r="H398" s="548">
        <f t="shared" ref="H398" si="48">F398*G398</f>
        <v>0.10920000000000001</v>
      </c>
      <c r="I398" s="547"/>
      <c r="J398" s="549"/>
      <c r="K398" s="548"/>
      <c r="L398" s="547"/>
      <c r="M398" s="549"/>
      <c r="N398" s="550"/>
      <c r="O398" s="551"/>
    </row>
    <row r="399" spans="1:15" s="23" customFormat="1" ht="14.25" x14ac:dyDescent="0.2">
      <c r="A399" s="136"/>
      <c r="B399" s="128"/>
      <c r="C399" s="32"/>
      <c r="D399" s="123"/>
      <c r="E399" s="32"/>
      <c r="F399" s="119"/>
      <c r="G399" s="33"/>
      <c r="H399" s="106"/>
      <c r="I399" s="28"/>
      <c r="J399" s="107"/>
      <c r="K399" s="33"/>
      <c r="L399" s="33"/>
      <c r="M399" s="109"/>
      <c r="N399" s="91"/>
      <c r="O399" s="91"/>
    </row>
    <row r="400" spans="1:15" s="23" customFormat="1" ht="22.5" x14ac:dyDescent="0.2">
      <c r="A400" s="223" t="s">
        <v>78</v>
      </c>
      <c r="B400" s="224" t="s">
        <v>1120</v>
      </c>
      <c r="C400" s="225" t="s">
        <v>342</v>
      </c>
      <c r="D400" s="226" t="s">
        <v>1152</v>
      </c>
      <c r="E400" s="225" t="s">
        <v>41</v>
      </c>
      <c r="F400" s="515">
        <v>2</v>
      </c>
      <c r="G400" s="228"/>
      <c r="H400" s="229">
        <f>ROUND(SUM(H401:H407),2)</f>
        <v>64.63</v>
      </c>
      <c r="I400" s="230">
        <f>ROUND(SUM(I401:I407),2)</f>
        <v>68.77</v>
      </c>
      <c r="J400" s="231">
        <f>(H400+I400)</f>
        <v>133.39999999999998</v>
      </c>
      <c r="K400" s="229">
        <f>F400*H400</f>
        <v>129.26</v>
      </c>
      <c r="L400" s="230">
        <f>F400*I400</f>
        <v>137.54</v>
      </c>
      <c r="M400" s="231">
        <f>K400+L400</f>
        <v>266.79999999999995</v>
      </c>
      <c r="N400" s="227">
        <f>M400*$N$7</f>
        <v>72.249439999999979</v>
      </c>
      <c r="O400" s="227">
        <f>M400+N400</f>
        <v>339.04943999999995</v>
      </c>
    </row>
    <row r="401" spans="1:15" s="552" customFormat="1" ht="18.75" customHeight="1" x14ac:dyDescent="0.25">
      <c r="A401" s="543"/>
      <c r="B401" s="544" t="s">
        <v>715</v>
      </c>
      <c r="C401" s="513">
        <v>6111</v>
      </c>
      <c r="D401" s="545" t="s">
        <v>1127</v>
      </c>
      <c r="E401" s="514" t="s">
        <v>42</v>
      </c>
      <c r="F401" s="546">
        <v>3.2</v>
      </c>
      <c r="G401" s="547">
        <v>8.92</v>
      </c>
      <c r="H401" s="548"/>
      <c r="I401" s="547">
        <f>F401*G401</f>
        <v>28.544</v>
      </c>
      <c r="J401" s="549"/>
      <c r="K401" s="548"/>
      <c r="L401" s="547"/>
      <c r="M401" s="549"/>
      <c r="N401" s="550"/>
      <c r="O401" s="551"/>
    </row>
    <row r="402" spans="1:15" s="552" customFormat="1" ht="18.75" customHeight="1" x14ac:dyDescent="0.25">
      <c r="A402" s="543"/>
      <c r="B402" s="544" t="s">
        <v>715</v>
      </c>
      <c r="C402" s="513">
        <v>2696</v>
      </c>
      <c r="D402" s="545" t="s">
        <v>1128</v>
      </c>
      <c r="E402" s="514" t="s">
        <v>91</v>
      </c>
      <c r="F402" s="546">
        <v>3.2</v>
      </c>
      <c r="G402" s="547">
        <v>12.57</v>
      </c>
      <c r="H402" s="548"/>
      <c r="I402" s="547">
        <f>F402*G402</f>
        <v>40.224000000000004</v>
      </c>
      <c r="J402" s="549"/>
      <c r="K402" s="548"/>
      <c r="L402" s="547"/>
      <c r="M402" s="549"/>
      <c r="N402" s="550"/>
      <c r="O402" s="551"/>
    </row>
    <row r="403" spans="1:15" s="552" customFormat="1" ht="18.75" customHeight="1" x14ac:dyDescent="0.25">
      <c r="A403" s="543"/>
      <c r="B403" s="544" t="s">
        <v>1121</v>
      </c>
      <c r="C403" s="513">
        <v>3146</v>
      </c>
      <c r="D403" s="545" t="s">
        <v>1122</v>
      </c>
      <c r="E403" s="514" t="s">
        <v>684</v>
      </c>
      <c r="F403" s="546">
        <v>7.5999999999999998E-2</v>
      </c>
      <c r="G403" s="547">
        <v>2.0699999999999998</v>
      </c>
      <c r="H403" s="548">
        <f>F403*G403</f>
        <v>0.15731999999999999</v>
      </c>
      <c r="I403" s="547"/>
      <c r="J403" s="549"/>
      <c r="K403" s="548"/>
      <c r="L403" s="547"/>
      <c r="M403" s="549"/>
      <c r="N403" s="550"/>
      <c r="O403" s="551"/>
    </row>
    <row r="404" spans="1:15" s="552" customFormat="1" ht="18.75" customHeight="1" x14ac:dyDescent="0.25">
      <c r="A404" s="543"/>
      <c r="B404" s="544" t="s">
        <v>715</v>
      </c>
      <c r="C404" s="513">
        <v>4351</v>
      </c>
      <c r="D404" s="545" t="s">
        <v>1123</v>
      </c>
      <c r="E404" s="514" t="s">
        <v>684</v>
      </c>
      <c r="F404" s="546">
        <v>2</v>
      </c>
      <c r="G404" s="547">
        <v>2.12</v>
      </c>
      <c r="H404" s="548">
        <f t="shared" ref="H404:H406" si="49">F404*G404</f>
        <v>4.24</v>
      </c>
      <c r="I404" s="547"/>
      <c r="J404" s="549"/>
      <c r="K404" s="548"/>
      <c r="L404" s="547"/>
      <c r="M404" s="549"/>
      <c r="N404" s="550"/>
      <c r="O404" s="551"/>
    </row>
    <row r="405" spans="1:15" s="552" customFormat="1" ht="18.75" customHeight="1" x14ac:dyDescent="0.25">
      <c r="A405" s="543"/>
      <c r="B405" s="544" t="s">
        <v>1121</v>
      </c>
      <c r="C405" s="513">
        <v>6021</v>
      </c>
      <c r="D405" s="545" t="s">
        <v>1124</v>
      </c>
      <c r="E405" s="514" t="s">
        <v>684</v>
      </c>
      <c r="F405" s="546">
        <v>1</v>
      </c>
      <c r="G405" s="547">
        <v>41.93</v>
      </c>
      <c r="H405" s="548">
        <f t="shared" si="49"/>
        <v>41.93</v>
      </c>
      <c r="I405" s="547"/>
      <c r="J405" s="549"/>
      <c r="K405" s="548"/>
      <c r="L405" s="547"/>
      <c r="M405" s="549"/>
      <c r="N405" s="550"/>
      <c r="O405" s="551"/>
    </row>
    <row r="406" spans="1:15" s="552" customFormat="1" ht="18.75" customHeight="1" x14ac:dyDescent="0.25">
      <c r="A406" s="543"/>
      <c r="B406" s="544" t="s">
        <v>1121</v>
      </c>
      <c r="C406" s="513">
        <v>11683</v>
      </c>
      <c r="D406" s="545" t="s">
        <v>1126</v>
      </c>
      <c r="E406" s="514" t="s">
        <v>684</v>
      </c>
      <c r="F406" s="546">
        <v>1</v>
      </c>
      <c r="G406" s="547">
        <v>18.3</v>
      </c>
      <c r="H406" s="548">
        <f t="shared" si="49"/>
        <v>18.3</v>
      </c>
      <c r="I406" s="547"/>
      <c r="J406" s="549"/>
      <c r="K406" s="548"/>
      <c r="L406" s="547"/>
      <c r="M406" s="549"/>
      <c r="N406" s="550"/>
      <c r="O406" s="551"/>
    </row>
    <row r="407" spans="1:15" s="552" customFormat="1" ht="18.75" customHeight="1" x14ac:dyDescent="0.25">
      <c r="A407" s="543"/>
      <c r="B407" s="544"/>
      <c r="C407" s="513"/>
      <c r="D407" s="545"/>
      <c r="E407" s="514"/>
      <c r="F407" s="546"/>
      <c r="G407" s="547"/>
      <c r="H407" s="548"/>
      <c r="I407" s="547"/>
      <c r="J407" s="549"/>
      <c r="K407" s="548"/>
      <c r="L407" s="547"/>
      <c r="M407" s="549"/>
      <c r="N407" s="550"/>
      <c r="O407" s="551"/>
    </row>
    <row r="408" spans="1:15" s="23" customFormat="1" ht="14.25" x14ac:dyDescent="0.2">
      <c r="A408" s="135"/>
      <c r="B408" s="120"/>
      <c r="C408" s="122"/>
      <c r="D408" s="124" t="s">
        <v>54</v>
      </c>
      <c r="E408" s="122"/>
      <c r="F408" s="90"/>
      <c r="G408" s="116"/>
      <c r="H408" s="102"/>
      <c r="I408" s="35"/>
      <c r="J408" s="103"/>
      <c r="K408" s="141"/>
      <c r="L408" s="35"/>
      <c r="M408" s="103"/>
      <c r="N408" s="90"/>
      <c r="O408" s="90"/>
    </row>
    <row r="409" spans="1:15" s="23" customFormat="1" ht="14.25" x14ac:dyDescent="0.2">
      <c r="A409" s="13"/>
      <c r="B409" s="14"/>
      <c r="C409" s="175"/>
      <c r="D409" s="16"/>
      <c r="E409" s="21"/>
      <c r="F409" s="18"/>
      <c r="G409" s="21"/>
      <c r="H409" s="22"/>
      <c r="I409" s="143"/>
      <c r="J409" s="112"/>
      <c r="K409" s="21"/>
      <c r="L409" s="22"/>
      <c r="M409" s="112"/>
      <c r="N409" s="20"/>
      <c r="O409" s="20"/>
    </row>
    <row r="410" spans="1:15" s="23" customFormat="1" ht="33.75" x14ac:dyDescent="0.2">
      <c r="A410" s="223"/>
      <c r="B410" s="224" t="s">
        <v>55</v>
      </c>
      <c r="C410" s="225" t="s">
        <v>343</v>
      </c>
      <c r="D410" s="226" t="s">
        <v>206</v>
      </c>
      <c r="E410" s="225" t="s">
        <v>41</v>
      </c>
      <c r="F410" s="515">
        <f>'MEMÓRIA DE CÁLCULO'!AF39</f>
        <v>7</v>
      </c>
      <c r="G410" s="228"/>
      <c r="H410" s="229">
        <f>ROUND(SUM(H411:H412),2)</f>
        <v>74.319999999999993</v>
      </c>
      <c r="I410" s="230">
        <f>ROUND(SUM(I411:I412),2)</f>
        <v>6.29</v>
      </c>
      <c r="J410" s="231">
        <f>(H410+I410)</f>
        <v>80.61</v>
      </c>
      <c r="K410" s="229">
        <f>F410*H410</f>
        <v>520.24</v>
      </c>
      <c r="L410" s="230">
        <f>F410*I410</f>
        <v>44.03</v>
      </c>
      <c r="M410" s="231">
        <f>K410+L410</f>
        <v>564.27</v>
      </c>
      <c r="N410" s="227">
        <f>M410*$N$7</f>
        <v>152.804316</v>
      </c>
      <c r="O410" s="227">
        <f>M410+N410</f>
        <v>717.07431599999995</v>
      </c>
    </row>
    <row r="411" spans="1:15" s="552" customFormat="1" ht="15" customHeight="1" x14ac:dyDescent="0.25">
      <c r="A411" s="543"/>
      <c r="B411" s="544" t="s">
        <v>715</v>
      </c>
      <c r="C411" s="513">
        <v>4750</v>
      </c>
      <c r="D411" s="545" t="s">
        <v>714</v>
      </c>
      <c r="E411" s="514" t="s">
        <v>42</v>
      </c>
      <c r="F411" s="546">
        <v>0.5</v>
      </c>
      <c r="G411" s="547">
        <v>12.57</v>
      </c>
      <c r="H411" s="548"/>
      <c r="I411" s="547">
        <f>F411*G411</f>
        <v>6.2850000000000001</v>
      </c>
      <c r="J411" s="549"/>
      <c r="K411" s="548"/>
      <c r="L411" s="547"/>
      <c r="M411" s="549"/>
      <c r="N411" s="550"/>
      <c r="O411" s="551"/>
    </row>
    <row r="412" spans="1:15" s="552" customFormat="1" ht="23.25" customHeight="1" x14ac:dyDescent="0.25">
      <c r="A412" s="543"/>
      <c r="B412" s="544"/>
      <c r="C412" s="513" t="s">
        <v>28</v>
      </c>
      <c r="D412" s="545" t="str">
        <f>D410</f>
        <v>Papeleira em metal cromado de parafusar - referência: linha Deca Flex 2020 ou similar, que apresente características visuais e materiais de fabricação idênticos - instalado junto a cada bacia sanitária nova</v>
      </c>
      <c r="E412" s="514" t="s">
        <v>56</v>
      </c>
      <c r="F412" s="546">
        <v>1</v>
      </c>
      <c r="G412" s="547">
        <v>74.319999999999993</v>
      </c>
      <c r="H412" s="548">
        <f>F412*G412</f>
        <v>74.319999999999993</v>
      </c>
      <c r="I412" s="547"/>
      <c r="J412" s="549"/>
      <c r="K412" s="548"/>
      <c r="L412" s="547"/>
      <c r="M412" s="549"/>
      <c r="N412" s="550"/>
      <c r="O412" s="551"/>
    </row>
    <row r="413" spans="1:15" s="23" customFormat="1" ht="14.25" x14ac:dyDescent="0.2">
      <c r="A413" s="136"/>
      <c r="B413" s="128"/>
      <c r="C413" s="32"/>
      <c r="D413" s="123"/>
      <c r="E413" s="32"/>
      <c r="F413" s="119"/>
      <c r="G413" s="33"/>
      <c r="H413" s="106"/>
      <c r="I413" s="28"/>
      <c r="J413" s="107"/>
      <c r="K413" s="33"/>
      <c r="L413" s="33"/>
      <c r="M413" s="109"/>
      <c r="N413" s="91"/>
      <c r="O413" s="91"/>
    </row>
    <row r="414" spans="1:15" s="23" customFormat="1" ht="22.5" x14ac:dyDescent="0.2">
      <c r="A414" s="223"/>
      <c r="B414" s="224" t="s">
        <v>55</v>
      </c>
      <c r="C414" s="225" t="s">
        <v>344</v>
      </c>
      <c r="D414" s="226" t="s">
        <v>1105</v>
      </c>
      <c r="E414" s="225" t="s">
        <v>41</v>
      </c>
      <c r="F414" s="515">
        <f>'MEMÓRIA DE CÁLCULO'!AG39</f>
        <v>5</v>
      </c>
      <c r="G414" s="228"/>
      <c r="H414" s="229">
        <f>ROUND(SUM(H415:H416),2)</f>
        <v>13.4</v>
      </c>
      <c r="I414" s="230">
        <f>ROUND(SUM(I415:I416),2)</f>
        <v>6.29</v>
      </c>
      <c r="J414" s="231">
        <f>(H414+I414)</f>
        <v>19.690000000000001</v>
      </c>
      <c r="K414" s="229">
        <f>F414*H414</f>
        <v>67</v>
      </c>
      <c r="L414" s="230">
        <f>F414*I414</f>
        <v>31.45</v>
      </c>
      <c r="M414" s="231">
        <f>K414+L414</f>
        <v>98.45</v>
      </c>
      <c r="N414" s="227">
        <f>M414*$N$7</f>
        <v>26.660260000000001</v>
      </c>
      <c r="O414" s="227">
        <f>M414+N414</f>
        <v>125.11026000000001</v>
      </c>
    </row>
    <row r="415" spans="1:15" s="552" customFormat="1" ht="15" customHeight="1" x14ac:dyDescent="0.25">
      <c r="A415" s="543"/>
      <c r="B415" s="544" t="s">
        <v>715</v>
      </c>
      <c r="C415" s="513">
        <v>4750</v>
      </c>
      <c r="D415" s="545" t="s">
        <v>714</v>
      </c>
      <c r="E415" s="514" t="s">
        <v>42</v>
      </c>
      <c r="F415" s="546">
        <v>0.5</v>
      </c>
      <c r="G415" s="547">
        <v>12.57</v>
      </c>
      <c r="H415" s="548"/>
      <c r="I415" s="547">
        <f>F415*G415</f>
        <v>6.2850000000000001</v>
      </c>
      <c r="J415" s="549"/>
      <c r="K415" s="548"/>
      <c r="L415" s="547"/>
      <c r="M415" s="549"/>
      <c r="N415" s="550"/>
      <c r="O415" s="551"/>
    </row>
    <row r="416" spans="1:15" s="552" customFormat="1" ht="15" customHeight="1" x14ac:dyDescent="0.25">
      <c r="A416" s="543"/>
      <c r="B416" s="544" t="s">
        <v>80</v>
      </c>
      <c r="C416" s="513"/>
      <c r="D416" s="545" t="str">
        <f>D414</f>
        <v>Saboneteira de plástico para sabonete líquido - referência:  Columbus ou similar - 02 em cada IS coletiva + 01 na IS PNE</v>
      </c>
      <c r="E416" s="514" t="s">
        <v>42</v>
      </c>
      <c r="F416" s="546">
        <v>1</v>
      </c>
      <c r="G416" s="547">
        <v>13.4</v>
      </c>
      <c r="H416" s="548">
        <f>F416*G416</f>
        <v>13.4</v>
      </c>
      <c r="I416" s="547"/>
      <c r="J416" s="549"/>
      <c r="K416" s="548"/>
      <c r="L416" s="547"/>
      <c r="M416" s="549"/>
      <c r="N416" s="550"/>
      <c r="O416" s="551"/>
    </row>
    <row r="417" spans="1:15" s="23" customFormat="1" ht="14.25" x14ac:dyDescent="0.2">
      <c r="A417" s="136"/>
      <c r="B417" s="128"/>
      <c r="C417" s="32"/>
      <c r="D417" s="123"/>
      <c r="E417" s="32"/>
      <c r="F417" s="119"/>
      <c r="G417" s="33"/>
      <c r="H417" s="106"/>
      <c r="I417" s="28"/>
      <c r="J417" s="107"/>
      <c r="K417" s="33"/>
      <c r="L417" s="33"/>
      <c r="M417" s="109"/>
      <c r="N417" s="91"/>
      <c r="O417" s="91"/>
    </row>
    <row r="418" spans="1:15" s="23" customFormat="1" ht="33.75" x14ac:dyDescent="0.2">
      <c r="A418" s="223"/>
      <c r="B418" s="224" t="s">
        <v>55</v>
      </c>
      <c r="C418" s="225" t="s">
        <v>345</v>
      </c>
      <c r="D418" s="226" t="s">
        <v>1106</v>
      </c>
      <c r="E418" s="225" t="s">
        <v>41</v>
      </c>
      <c r="F418" s="515">
        <f>'MEMÓRIA DE CÁLCULO'!AH39</f>
        <v>7</v>
      </c>
      <c r="G418" s="228"/>
      <c r="H418" s="229">
        <f>ROUND(SUM(H419:H421),2)</f>
        <v>22.61</v>
      </c>
      <c r="I418" s="230">
        <f>ROUND(SUM(I419:I421),2)</f>
        <v>12.57</v>
      </c>
      <c r="J418" s="231">
        <f>(H418+I418)</f>
        <v>35.18</v>
      </c>
      <c r="K418" s="229">
        <f>F418*H418</f>
        <v>158.26999999999998</v>
      </c>
      <c r="L418" s="230">
        <f>F418*I418</f>
        <v>87.990000000000009</v>
      </c>
      <c r="M418" s="231">
        <f>K418+L418</f>
        <v>246.26</v>
      </c>
      <c r="N418" s="227">
        <f>M418*$N$7</f>
        <v>66.687207999999998</v>
      </c>
      <c r="O418" s="227">
        <f>M418+N418</f>
        <v>312.94720799999999</v>
      </c>
    </row>
    <row r="419" spans="1:15" s="552" customFormat="1" ht="15" customHeight="1" x14ac:dyDescent="0.25">
      <c r="A419" s="543"/>
      <c r="B419" s="544" t="s">
        <v>715</v>
      </c>
      <c r="C419" s="513">
        <v>4750</v>
      </c>
      <c r="D419" s="545" t="s">
        <v>714</v>
      </c>
      <c r="E419" s="514" t="s">
        <v>42</v>
      </c>
      <c r="F419" s="546">
        <v>1</v>
      </c>
      <c r="G419" s="547">
        <v>12.57</v>
      </c>
      <c r="H419" s="548"/>
      <c r="I419" s="547">
        <f>F419*G419</f>
        <v>12.57</v>
      </c>
      <c r="J419" s="549"/>
      <c r="K419" s="548"/>
      <c r="L419" s="547"/>
      <c r="M419" s="549"/>
      <c r="N419" s="550"/>
      <c r="O419" s="551"/>
    </row>
    <row r="420" spans="1:15" s="552" customFormat="1" ht="15" customHeight="1" x14ac:dyDescent="0.25">
      <c r="A420" s="543"/>
      <c r="B420" s="544" t="s">
        <v>80</v>
      </c>
      <c r="C420" s="513"/>
      <c r="D420" s="545" t="str">
        <f>D418</f>
        <v>Dispenser para papel toalha, linha standard - Fornecimento e instalação  - Referência Técnica: Columbus ou similar - 02 em cada IS coletivo + 01 na IS PNE  - 01 cozinha  + 01 no apoio cozinha</v>
      </c>
      <c r="E420" s="514" t="s">
        <v>42</v>
      </c>
      <c r="F420" s="546">
        <v>1</v>
      </c>
      <c r="G420" s="547">
        <v>22.61</v>
      </c>
      <c r="H420" s="548">
        <f>F420*G420</f>
        <v>22.61</v>
      </c>
      <c r="I420" s="547"/>
      <c r="J420" s="549"/>
      <c r="K420" s="548"/>
      <c r="L420" s="547"/>
      <c r="M420" s="549"/>
      <c r="N420" s="550"/>
      <c r="O420" s="551"/>
    </row>
    <row r="421" spans="1:15" s="23" customFormat="1" ht="14.25" x14ac:dyDescent="0.2">
      <c r="A421" s="136"/>
      <c r="B421" s="128"/>
      <c r="C421" s="32"/>
      <c r="D421" s="123"/>
      <c r="E421" s="32"/>
      <c r="F421" s="119"/>
      <c r="G421" s="33"/>
      <c r="H421" s="106"/>
      <c r="I421" s="28"/>
      <c r="J421" s="107"/>
      <c r="K421" s="33"/>
      <c r="L421" s="33"/>
      <c r="M421" s="109"/>
      <c r="N421" s="91"/>
      <c r="O421" s="91"/>
    </row>
    <row r="422" spans="1:15" s="23" customFormat="1" ht="33.75" x14ac:dyDescent="0.2">
      <c r="A422" s="223"/>
      <c r="B422" s="224" t="s">
        <v>55</v>
      </c>
      <c r="C422" s="225" t="s">
        <v>346</v>
      </c>
      <c r="D422" s="226" t="s">
        <v>1107</v>
      </c>
      <c r="E422" s="225" t="s">
        <v>41</v>
      </c>
      <c r="F422" s="515">
        <f>'MEMÓRIA DE CÁLCULO'!AE39</f>
        <v>11</v>
      </c>
      <c r="G422" s="228"/>
      <c r="H422" s="229">
        <f>ROUND(SUM(H423:H424),2)</f>
        <v>40.08</v>
      </c>
      <c r="I422" s="230">
        <f>ROUND(SUM(I423:I424),2)</f>
        <v>12.57</v>
      </c>
      <c r="J422" s="231">
        <f>(H422+I422)</f>
        <v>52.65</v>
      </c>
      <c r="K422" s="229">
        <f>F422*H422</f>
        <v>440.88</v>
      </c>
      <c r="L422" s="230">
        <f>F422*I422</f>
        <v>138.27000000000001</v>
      </c>
      <c r="M422" s="231">
        <f>K422+L422</f>
        <v>579.15</v>
      </c>
      <c r="N422" s="227">
        <f>M422*$N$7</f>
        <v>156.83381999999997</v>
      </c>
      <c r="O422" s="227">
        <f>M422+N422</f>
        <v>735.98381999999992</v>
      </c>
    </row>
    <row r="423" spans="1:15" s="552" customFormat="1" ht="15" customHeight="1" x14ac:dyDescent="0.25">
      <c r="A423" s="543"/>
      <c r="B423" s="544" t="s">
        <v>715</v>
      </c>
      <c r="C423" s="513">
        <v>4750</v>
      </c>
      <c r="D423" s="545" t="s">
        <v>714</v>
      </c>
      <c r="E423" s="514" t="s">
        <v>42</v>
      </c>
      <c r="F423" s="546">
        <v>1</v>
      </c>
      <c r="G423" s="547">
        <v>12.57</v>
      </c>
      <c r="H423" s="548"/>
      <c r="I423" s="547">
        <f>F423*G423</f>
        <v>12.57</v>
      </c>
      <c r="J423" s="549"/>
      <c r="K423" s="548"/>
      <c r="L423" s="547"/>
      <c r="M423" s="549"/>
      <c r="N423" s="550"/>
      <c r="O423" s="551"/>
    </row>
    <row r="424" spans="1:15" s="552" customFormat="1" ht="15" customHeight="1" x14ac:dyDescent="0.25">
      <c r="A424" s="543"/>
      <c r="B424" s="544" t="s">
        <v>80</v>
      </c>
      <c r="C424" s="513" t="s">
        <v>28</v>
      </c>
      <c r="D424" s="545" t="str">
        <f>D422</f>
        <v>Toalheiro tipo gancho em metal cromado de parafusar - referêcnia: linha Deca Flex 2060 ou similar - instalados junto a cada bacia sanitária nos sanitários  + 02 junto a cada bancada das IS coletivas</v>
      </c>
      <c r="E424" s="514" t="s">
        <v>57</v>
      </c>
      <c r="F424" s="546">
        <v>1</v>
      </c>
      <c r="G424" s="547">
        <v>40.08</v>
      </c>
      <c r="H424" s="548">
        <f>F424*G424</f>
        <v>40.08</v>
      </c>
      <c r="I424" s="547"/>
      <c r="J424" s="549"/>
      <c r="K424" s="548"/>
      <c r="L424" s="547"/>
      <c r="M424" s="549"/>
      <c r="N424" s="550"/>
      <c r="O424" s="551"/>
    </row>
    <row r="425" spans="1:15" s="12" customFormat="1" ht="12.75" x14ac:dyDescent="0.25">
      <c r="A425" s="136"/>
      <c r="B425" s="128"/>
      <c r="C425" s="32"/>
      <c r="D425" s="123"/>
      <c r="E425" s="32"/>
      <c r="F425" s="119"/>
      <c r="G425" s="33"/>
      <c r="H425" s="106"/>
      <c r="I425" s="28"/>
      <c r="J425" s="107"/>
      <c r="K425" s="33"/>
      <c r="L425" s="33"/>
      <c r="M425" s="109"/>
      <c r="N425" s="91"/>
      <c r="O425" s="91"/>
    </row>
    <row r="426" spans="1:15" s="23" customFormat="1" ht="14.25" x14ac:dyDescent="0.2">
      <c r="A426" s="136"/>
      <c r="B426" s="128"/>
      <c r="C426" s="32"/>
      <c r="D426" s="123"/>
      <c r="E426" s="32"/>
      <c r="F426" s="119"/>
      <c r="G426" s="33"/>
      <c r="H426" s="106"/>
      <c r="I426" s="28"/>
      <c r="J426" s="107"/>
      <c r="K426" s="33"/>
      <c r="L426" s="33"/>
      <c r="M426" s="109"/>
      <c r="N426" s="91"/>
      <c r="O426" s="91"/>
    </row>
    <row r="427" spans="1:15" s="23" customFormat="1" ht="22.5" x14ac:dyDescent="0.2">
      <c r="A427" s="223" t="s">
        <v>39</v>
      </c>
      <c r="B427" s="224" t="s">
        <v>59</v>
      </c>
      <c r="C427" s="225" t="s">
        <v>347</v>
      </c>
      <c r="D427" s="226" t="s">
        <v>210</v>
      </c>
      <c r="E427" s="225" t="s">
        <v>41</v>
      </c>
      <c r="F427" s="515">
        <f>'MEMÓRIA DE CÁLCULO'!X39</f>
        <v>4</v>
      </c>
      <c r="G427" s="228"/>
      <c r="H427" s="229">
        <f>ROUND(SUM(H428:H431),2)</f>
        <v>183.66</v>
      </c>
      <c r="I427" s="230">
        <f>ROUND(SUM(I428:I431),2)</f>
        <v>30.83</v>
      </c>
      <c r="J427" s="231">
        <f>(H427+I427)</f>
        <v>214.49</v>
      </c>
      <c r="K427" s="229">
        <f>F427*H427</f>
        <v>734.64</v>
      </c>
      <c r="L427" s="230">
        <f>F427*I427</f>
        <v>123.32</v>
      </c>
      <c r="M427" s="231">
        <f>K427+L427</f>
        <v>857.96</v>
      </c>
      <c r="N427" s="227">
        <f>M427*$N$7</f>
        <v>232.33556799999999</v>
      </c>
      <c r="O427" s="227">
        <f>M427+N427</f>
        <v>1090.295568</v>
      </c>
    </row>
    <row r="428" spans="1:15" s="552" customFormat="1" ht="18.75" customHeight="1" x14ac:dyDescent="0.25">
      <c r="A428" s="543"/>
      <c r="B428" s="544"/>
      <c r="C428" s="513">
        <v>2696</v>
      </c>
      <c r="D428" s="545" t="s">
        <v>767</v>
      </c>
      <c r="E428" s="514" t="s">
        <v>42</v>
      </c>
      <c r="F428" s="546">
        <v>1.4</v>
      </c>
      <c r="G428" s="547">
        <v>12.57</v>
      </c>
      <c r="H428" s="548"/>
      <c r="I428" s="547">
        <f>F428*G428</f>
        <v>17.597999999999999</v>
      </c>
      <c r="J428" s="549"/>
      <c r="K428" s="548"/>
      <c r="L428" s="547"/>
      <c r="M428" s="549"/>
      <c r="N428" s="550"/>
      <c r="O428" s="551"/>
    </row>
    <row r="429" spans="1:15" s="552" customFormat="1" ht="18.75" customHeight="1" x14ac:dyDescent="0.25">
      <c r="A429" s="543"/>
      <c r="B429" s="544"/>
      <c r="C429" s="513">
        <v>246</v>
      </c>
      <c r="D429" s="545" t="s">
        <v>766</v>
      </c>
      <c r="E429" s="514" t="s">
        <v>42</v>
      </c>
      <c r="F429" s="546">
        <v>1.4</v>
      </c>
      <c r="G429" s="547">
        <v>9.4499999999999993</v>
      </c>
      <c r="H429" s="548"/>
      <c r="I429" s="547">
        <f>F429*G429</f>
        <v>13.229999999999999</v>
      </c>
      <c r="J429" s="549"/>
      <c r="K429" s="548"/>
      <c r="L429" s="547"/>
      <c r="M429" s="549"/>
      <c r="N429" s="550"/>
      <c r="O429" s="551"/>
    </row>
    <row r="430" spans="1:15" s="552" customFormat="1" ht="18.75" customHeight="1" x14ac:dyDescent="0.25">
      <c r="A430" s="543"/>
      <c r="B430" s="544"/>
      <c r="C430" s="513" t="s">
        <v>28</v>
      </c>
      <c r="D430" s="545" t="s">
        <v>15</v>
      </c>
      <c r="E430" s="514" t="s">
        <v>41</v>
      </c>
      <c r="F430" s="546">
        <v>1</v>
      </c>
      <c r="G430" s="547">
        <v>183.54</v>
      </c>
      <c r="H430" s="548">
        <f>F430*G430</f>
        <v>183.54</v>
      </c>
      <c r="I430" s="547"/>
      <c r="J430" s="549"/>
      <c r="K430" s="548"/>
      <c r="L430" s="547"/>
      <c r="M430" s="549"/>
      <c r="N430" s="550"/>
      <c r="O430" s="551"/>
    </row>
    <row r="431" spans="1:15" s="552" customFormat="1" ht="18.75" customHeight="1" x14ac:dyDescent="0.25">
      <c r="A431" s="543"/>
      <c r="B431" s="544"/>
      <c r="C431" s="513"/>
      <c r="D431" s="545" t="s">
        <v>35</v>
      </c>
      <c r="E431" s="514" t="s">
        <v>41</v>
      </c>
      <c r="F431" s="546">
        <v>0.94</v>
      </c>
      <c r="G431" s="547">
        <v>0.13</v>
      </c>
      <c r="H431" s="548">
        <f>F431*G431</f>
        <v>0.1222</v>
      </c>
      <c r="I431" s="547"/>
      <c r="J431" s="549"/>
      <c r="K431" s="548"/>
      <c r="L431" s="547"/>
      <c r="M431" s="549"/>
      <c r="N431" s="550"/>
      <c r="O431" s="551"/>
    </row>
    <row r="432" spans="1:15" s="23" customFormat="1" ht="14.25" x14ac:dyDescent="0.2">
      <c r="A432" s="136"/>
      <c r="B432" s="128"/>
      <c r="C432" s="32"/>
      <c r="D432" s="123"/>
      <c r="E432" s="32"/>
      <c r="F432" s="119"/>
      <c r="G432" s="33"/>
      <c r="H432" s="106"/>
      <c r="I432" s="28"/>
      <c r="J432" s="107"/>
      <c r="K432" s="33"/>
      <c r="L432" s="33"/>
      <c r="M432" s="109"/>
      <c r="N432" s="91"/>
      <c r="O432" s="91"/>
    </row>
    <row r="433" spans="1:15" s="23" customFormat="1" ht="33.75" x14ac:dyDescent="0.2">
      <c r="A433" s="223" t="s">
        <v>39</v>
      </c>
      <c r="B433" s="224" t="s">
        <v>506</v>
      </c>
      <c r="C433" s="225" t="s">
        <v>348</v>
      </c>
      <c r="D433" s="226" t="s">
        <v>507</v>
      </c>
      <c r="E433" s="225" t="s">
        <v>41</v>
      </c>
      <c r="F433" s="515">
        <v>8</v>
      </c>
      <c r="G433" s="228"/>
      <c r="H433" s="229">
        <f>ROUND(SUM(H434:H436),2)</f>
        <v>0.12</v>
      </c>
      <c r="I433" s="230">
        <f>ROUND(SUM(I434:I436),2)</f>
        <v>30.83</v>
      </c>
      <c r="J433" s="231">
        <f>(H433+I433)</f>
        <v>30.95</v>
      </c>
      <c r="K433" s="229">
        <f>F433*H433</f>
        <v>0.96</v>
      </c>
      <c r="L433" s="230">
        <f>F433*I433</f>
        <v>246.64</v>
      </c>
      <c r="M433" s="231">
        <f>K433+L433</f>
        <v>247.6</v>
      </c>
      <c r="N433" s="227">
        <f>M433*$N$7</f>
        <v>67.050079999999994</v>
      </c>
      <c r="O433" s="227">
        <f>M433+N433</f>
        <v>314.65008</v>
      </c>
    </row>
    <row r="434" spans="1:15" s="552" customFormat="1" ht="18.75" customHeight="1" x14ac:dyDescent="0.25">
      <c r="A434" s="543"/>
      <c r="B434" s="544"/>
      <c r="C434" s="513">
        <v>2696</v>
      </c>
      <c r="D434" s="545" t="s">
        <v>765</v>
      </c>
      <c r="E434" s="514" t="s">
        <v>42</v>
      </c>
      <c r="F434" s="546">
        <v>1.4</v>
      </c>
      <c r="G434" s="547">
        <v>12.57</v>
      </c>
      <c r="H434" s="548"/>
      <c r="I434" s="547">
        <f>F434*G434</f>
        <v>17.597999999999999</v>
      </c>
      <c r="J434" s="549"/>
      <c r="K434" s="548"/>
      <c r="L434" s="547"/>
      <c r="M434" s="549"/>
      <c r="N434" s="550"/>
      <c r="O434" s="551"/>
    </row>
    <row r="435" spans="1:15" s="552" customFormat="1" ht="18.75" customHeight="1" x14ac:dyDescent="0.25">
      <c r="A435" s="543"/>
      <c r="B435" s="544"/>
      <c r="C435" s="513">
        <v>246</v>
      </c>
      <c r="D435" s="545" t="s">
        <v>766</v>
      </c>
      <c r="E435" s="514" t="s">
        <v>42</v>
      </c>
      <c r="F435" s="546">
        <v>1.4</v>
      </c>
      <c r="G435" s="547">
        <v>9.4499999999999993</v>
      </c>
      <c r="H435" s="548"/>
      <c r="I435" s="547">
        <f>F435*G435</f>
        <v>13.229999999999999</v>
      </c>
      <c r="J435" s="549"/>
      <c r="K435" s="548"/>
      <c r="L435" s="547"/>
      <c r="M435" s="549"/>
      <c r="N435" s="550"/>
      <c r="O435" s="551"/>
    </row>
    <row r="436" spans="1:15" s="552" customFormat="1" ht="18.75" customHeight="1" x14ac:dyDescent="0.25">
      <c r="A436" s="543"/>
      <c r="B436" s="544"/>
      <c r="C436" s="513"/>
      <c r="D436" s="545" t="s">
        <v>35</v>
      </c>
      <c r="E436" s="514" t="s">
        <v>41</v>
      </c>
      <c r="F436" s="546">
        <v>0.94</v>
      </c>
      <c r="G436" s="547">
        <v>0.13</v>
      </c>
      <c r="H436" s="548">
        <f>F436*G436</f>
        <v>0.1222</v>
      </c>
      <c r="I436" s="547"/>
      <c r="J436" s="549"/>
      <c r="K436" s="548"/>
      <c r="L436" s="547"/>
      <c r="M436" s="549"/>
      <c r="N436" s="550"/>
      <c r="O436" s="551"/>
    </row>
    <row r="437" spans="1:15" s="23" customFormat="1" ht="14.25" x14ac:dyDescent="0.2">
      <c r="A437" s="136"/>
      <c r="B437" s="128"/>
      <c r="C437" s="32"/>
      <c r="D437" s="123"/>
      <c r="E437" s="32"/>
      <c r="F437" s="481"/>
      <c r="G437" s="482"/>
      <c r="H437" s="483"/>
      <c r="I437" s="484"/>
      <c r="J437" s="485"/>
      <c r="K437" s="482"/>
      <c r="L437" s="482"/>
      <c r="M437" s="486"/>
      <c r="N437" s="91"/>
      <c r="O437" s="91"/>
    </row>
    <row r="438" spans="1:15" s="23" customFormat="1" ht="22.5" x14ac:dyDescent="0.2">
      <c r="A438" s="223"/>
      <c r="B438" s="224" t="s">
        <v>55</v>
      </c>
      <c r="C438" s="225" t="s">
        <v>349</v>
      </c>
      <c r="D438" s="226" t="s">
        <v>211</v>
      </c>
      <c r="E438" s="225" t="s">
        <v>41</v>
      </c>
      <c r="F438" s="515">
        <f>'MEMÓRIA DE CÁLCULO'!V39</f>
        <v>1</v>
      </c>
      <c r="G438" s="228"/>
      <c r="H438" s="229">
        <f>ROUND(SUM(H439:H441),2)</f>
        <v>305.3</v>
      </c>
      <c r="I438" s="229">
        <f>ROUND(SUM(I439:I441),2)</f>
        <v>21.49</v>
      </c>
      <c r="J438" s="231">
        <f>(H438+I438)</f>
        <v>326.79000000000002</v>
      </c>
      <c r="K438" s="229">
        <f>F438*H438</f>
        <v>305.3</v>
      </c>
      <c r="L438" s="230">
        <f>F438*I438</f>
        <v>21.49</v>
      </c>
      <c r="M438" s="231">
        <f>K438+L438</f>
        <v>326.79000000000002</v>
      </c>
      <c r="N438" s="227">
        <f>M438*$N$7</f>
        <v>88.494731999999999</v>
      </c>
      <c r="O438" s="227">
        <f>M438+N438</f>
        <v>415.28473200000002</v>
      </c>
    </row>
    <row r="439" spans="1:15" s="552" customFormat="1" ht="15" customHeight="1" x14ac:dyDescent="0.25">
      <c r="A439" s="543"/>
      <c r="B439" s="544" t="s">
        <v>715</v>
      </c>
      <c r="C439" s="513">
        <v>4750</v>
      </c>
      <c r="D439" s="545" t="s">
        <v>714</v>
      </c>
      <c r="E439" s="514" t="s">
        <v>42</v>
      </c>
      <c r="F439" s="546">
        <v>1</v>
      </c>
      <c r="G439" s="547">
        <v>12.57</v>
      </c>
      <c r="H439" s="548"/>
      <c r="I439" s="547">
        <f>F439*G439</f>
        <v>12.57</v>
      </c>
      <c r="J439" s="549"/>
      <c r="K439" s="548"/>
      <c r="L439" s="547"/>
      <c r="M439" s="549"/>
      <c r="N439" s="550"/>
      <c r="O439" s="551"/>
    </row>
    <row r="440" spans="1:15" s="552" customFormat="1" ht="15" customHeight="1" x14ac:dyDescent="0.25">
      <c r="A440" s="543"/>
      <c r="B440" s="544" t="s">
        <v>658</v>
      </c>
      <c r="C440" s="513">
        <v>6111</v>
      </c>
      <c r="D440" s="545" t="s">
        <v>670</v>
      </c>
      <c r="E440" s="514" t="s">
        <v>42</v>
      </c>
      <c r="F440" s="546">
        <v>1</v>
      </c>
      <c r="G440" s="547">
        <v>8.92</v>
      </c>
      <c r="H440" s="548"/>
      <c r="I440" s="547">
        <f t="shared" ref="I440" si="50">F440*G440</f>
        <v>8.92</v>
      </c>
      <c r="J440" s="549"/>
      <c r="K440" s="548"/>
      <c r="L440" s="547"/>
      <c r="M440" s="549"/>
      <c r="N440" s="550"/>
      <c r="O440" s="551"/>
    </row>
    <row r="441" spans="1:15" s="552" customFormat="1" ht="15" customHeight="1" x14ac:dyDescent="0.25">
      <c r="A441" s="543"/>
      <c r="B441" s="544"/>
      <c r="C441" s="513" t="s">
        <v>28</v>
      </c>
      <c r="D441" s="545" t="s">
        <v>60</v>
      </c>
      <c r="E441" s="514" t="s">
        <v>41</v>
      </c>
      <c r="F441" s="546">
        <v>1</v>
      </c>
      <c r="G441" s="547">
        <v>305.3</v>
      </c>
      <c r="H441" s="548">
        <v>305.3</v>
      </c>
      <c r="I441" s="547"/>
      <c r="J441" s="549"/>
      <c r="K441" s="548"/>
      <c r="L441" s="547"/>
      <c r="M441" s="549"/>
      <c r="N441" s="550"/>
      <c r="O441" s="551"/>
    </row>
    <row r="442" spans="1:15" s="23" customFormat="1" ht="14.25" x14ac:dyDescent="0.2">
      <c r="A442" s="136"/>
      <c r="B442" s="128"/>
      <c r="C442" s="32"/>
      <c r="D442" s="123"/>
      <c r="E442" s="32"/>
      <c r="F442" s="119"/>
      <c r="G442" s="33"/>
      <c r="H442" s="106"/>
      <c r="I442" s="28"/>
      <c r="J442" s="107"/>
      <c r="K442" s="33"/>
      <c r="L442" s="33"/>
      <c r="M442" s="109"/>
      <c r="N442" s="91"/>
      <c r="O442" s="91"/>
    </row>
    <row r="443" spans="1:15" s="23" customFormat="1" ht="22.5" x14ac:dyDescent="0.2">
      <c r="A443" s="223"/>
      <c r="B443" s="224" t="s">
        <v>55</v>
      </c>
      <c r="C443" s="225" t="s">
        <v>350</v>
      </c>
      <c r="D443" s="226" t="s">
        <v>212</v>
      </c>
      <c r="E443" s="225" t="s">
        <v>41</v>
      </c>
      <c r="F443" s="515">
        <v>2</v>
      </c>
      <c r="G443" s="228"/>
      <c r="H443" s="229">
        <f>ROUND(SUM(H444:H446),2)</f>
        <v>110.9</v>
      </c>
      <c r="I443" s="230">
        <f>ROUND(SUM(I444:I446),2)</f>
        <v>21.49</v>
      </c>
      <c r="J443" s="231">
        <f>(H443+I443)</f>
        <v>132.39000000000001</v>
      </c>
      <c r="K443" s="229">
        <f>F443*H443</f>
        <v>221.8</v>
      </c>
      <c r="L443" s="230">
        <f>F443*I443</f>
        <v>42.98</v>
      </c>
      <c r="M443" s="231">
        <f>K443+L443</f>
        <v>264.78000000000003</v>
      </c>
      <c r="N443" s="227">
        <f>M443*$N$7</f>
        <v>71.702424000000008</v>
      </c>
      <c r="O443" s="227">
        <f>M443+N443</f>
        <v>336.48242400000004</v>
      </c>
    </row>
    <row r="444" spans="1:15" s="552" customFormat="1" ht="15" customHeight="1" x14ac:dyDescent="0.25">
      <c r="A444" s="543"/>
      <c r="B444" s="544" t="s">
        <v>715</v>
      </c>
      <c r="C444" s="513">
        <v>4750</v>
      </c>
      <c r="D444" s="545" t="s">
        <v>714</v>
      </c>
      <c r="E444" s="514" t="s">
        <v>42</v>
      </c>
      <c r="F444" s="546">
        <v>1</v>
      </c>
      <c r="G444" s="547">
        <v>12.57</v>
      </c>
      <c r="H444" s="548"/>
      <c r="I444" s="547">
        <f>F444*G444</f>
        <v>12.57</v>
      </c>
      <c r="J444" s="549"/>
      <c r="K444" s="548"/>
      <c r="L444" s="547"/>
      <c r="M444" s="549"/>
      <c r="N444" s="550"/>
      <c r="O444" s="551"/>
    </row>
    <row r="445" spans="1:15" s="552" customFormat="1" ht="15" customHeight="1" x14ac:dyDescent="0.25">
      <c r="A445" s="543"/>
      <c r="B445" s="544" t="s">
        <v>658</v>
      </c>
      <c r="C445" s="513">
        <v>6111</v>
      </c>
      <c r="D445" s="545" t="s">
        <v>670</v>
      </c>
      <c r="E445" s="514" t="s">
        <v>42</v>
      </c>
      <c r="F445" s="546">
        <v>1</v>
      </c>
      <c r="G445" s="547">
        <v>8.92</v>
      </c>
      <c r="H445" s="548"/>
      <c r="I445" s="547">
        <f t="shared" ref="I445" si="51">F445*G445</f>
        <v>8.92</v>
      </c>
      <c r="J445" s="549"/>
      <c r="K445" s="548"/>
      <c r="L445" s="547"/>
      <c r="M445" s="549"/>
      <c r="N445" s="550"/>
      <c r="O445" s="551"/>
    </row>
    <row r="446" spans="1:15" s="552" customFormat="1" ht="26.25" customHeight="1" x14ac:dyDescent="0.25">
      <c r="A446" s="543"/>
      <c r="B446" s="544"/>
      <c r="C446" s="513" t="s">
        <v>28</v>
      </c>
      <c r="D446" s="545" t="s">
        <v>61</v>
      </c>
      <c r="E446" s="514" t="s">
        <v>41</v>
      </c>
      <c r="F446" s="546">
        <v>1</v>
      </c>
      <c r="G446" s="547">
        <v>110.9</v>
      </c>
      <c r="H446" s="548">
        <f>F446*G446</f>
        <v>110.9</v>
      </c>
      <c r="I446" s="547"/>
      <c r="J446" s="549"/>
      <c r="K446" s="548"/>
      <c r="L446" s="547"/>
      <c r="M446" s="549"/>
      <c r="N446" s="550"/>
      <c r="O446" s="551"/>
    </row>
    <row r="447" spans="1:15" s="23" customFormat="1" ht="14.25" x14ac:dyDescent="0.2">
      <c r="A447" s="136"/>
      <c r="B447" s="128"/>
      <c r="C447" s="32"/>
      <c r="D447" s="123"/>
      <c r="E447" s="32"/>
      <c r="F447" s="119"/>
      <c r="G447" s="33"/>
      <c r="H447" s="106"/>
      <c r="I447" s="28"/>
      <c r="J447" s="107"/>
      <c r="K447" s="33"/>
      <c r="L447" s="33"/>
      <c r="M447" s="109"/>
      <c r="N447" s="91"/>
      <c r="O447" s="91"/>
    </row>
    <row r="448" spans="1:15" s="23" customFormat="1" ht="22.5" x14ac:dyDescent="0.2">
      <c r="A448" s="223" t="s">
        <v>39</v>
      </c>
      <c r="B448" s="224" t="s">
        <v>24</v>
      </c>
      <c r="C448" s="225" t="s">
        <v>405</v>
      </c>
      <c r="D448" s="226" t="s">
        <v>213</v>
      </c>
      <c r="E448" s="225" t="s">
        <v>41</v>
      </c>
      <c r="F448" s="515">
        <v>1</v>
      </c>
      <c r="G448" s="228"/>
      <c r="H448" s="229">
        <f>ROUND(SUM(H449:H453),2)</f>
        <v>142.68</v>
      </c>
      <c r="I448" s="230">
        <f>ROUND(SUM(I449:I453),2)</f>
        <v>44.04</v>
      </c>
      <c r="J448" s="231">
        <f>(H448+I448)</f>
        <v>186.72</v>
      </c>
      <c r="K448" s="229">
        <f>F448*H448</f>
        <v>142.68</v>
      </c>
      <c r="L448" s="230">
        <f>F448*I448</f>
        <v>44.04</v>
      </c>
      <c r="M448" s="231">
        <f>K448+L448</f>
        <v>186.72</v>
      </c>
      <c r="N448" s="227">
        <f>M448*$N$7</f>
        <v>50.563775999999997</v>
      </c>
      <c r="O448" s="227">
        <f>M448+N448</f>
        <v>237.28377599999999</v>
      </c>
    </row>
    <row r="449" spans="1:15" s="552" customFormat="1" ht="18.75" customHeight="1" x14ac:dyDescent="0.25">
      <c r="A449" s="543"/>
      <c r="B449" s="544"/>
      <c r="C449" s="513">
        <v>2696</v>
      </c>
      <c r="D449" s="545" t="s">
        <v>767</v>
      </c>
      <c r="E449" s="514" t="s">
        <v>42</v>
      </c>
      <c r="F449" s="546">
        <v>2</v>
      </c>
      <c r="G449" s="547">
        <v>12.57</v>
      </c>
      <c r="H449" s="548"/>
      <c r="I449" s="547">
        <f>F449*G449</f>
        <v>25.14</v>
      </c>
      <c r="J449" s="549"/>
      <c r="K449" s="548"/>
      <c r="L449" s="547"/>
      <c r="M449" s="549"/>
      <c r="N449" s="550"/>
      <c r="O449" s="551"/>
    </row>
    <row r="450" spans="1:15" s="552" customFormat="1" ht="18.75" customHeight="1" x14ac:dyDescent="0.25">
      <c r="A450" s="543"/>
      <c r="B450" s="544"/>
      <c r="C450" s="513">
        <v>246</v>
      </c>
      <c r="D450" s="545" t="s">
        <v>766</v>
      </c>
      <c r="E450" s="514" t="s">
        <v>42</v>
      </c>
      <c r="F450" s="546">
        <v>2</v>
      </c>
      <c r="G450" s="547">
        <v>9.4499999999999993</v>
      </c>
      <c r="H450" s="548"/>
      <c r="I450" s="547">
        <f>F450*G450</f>
        <v>18.899999999999999</v>
      </c>
      <c r="J450" s="549"/>
      <c r="K450" s="548"/>
      <c r="L450" s="547"/>
      <c r="M450" s="549"/>
      <c r="N450" s="550"/>
      <c r="O450" s="551"/>
    </row>
    <row r="451" spans="1:15" s="552" customFormat="1" ht="18.75" customHeight="1" x14ac:dyDescent="0.25">
      <c r="A451" s="543"/>
      <c r="B451" s="544"/>
      <c r="C451" s="513"/>
      <c r="D451" s="545" t="str">
        <f>D448</f>
        <v>Base para válvula de descarga metálica Ø 32 mm (1 1/4") ou 40 mm (1 1/2")  - Referência: Docol Salvágua cromado 451106 - botão de duplo acionamento  (pne)</v>
      </c>
      <c r="E451" s="514" t="s">
        <v>56</v>
      </c>
      <c r="F451" s="546">
        <v>1</v>
      </c>
      <c r="G451" s="547">
        <v>125.44</v>
      </c>
      <c r="H451" s="548">
        <f>F451*G451</f>
        <v>125.44</v>
      </c>
      <c r="I451" s="547"/>
      <c r="J451" s="549"/>
      <c r="K451" s="548"/>
      <c r="L451" s="547"/>
      <c r="M451" s="549"/>
      <c r="N451" s="550"/>
      <c r="O451" s="551"/>
    </row>
    <row r="452" spans="1:15" s="552" customFormat="1" ht="18.75" customHeight="1" x14ac:dyDescent="0.25">
      <c r="A452" s="543"/>
      <c r="B452" s="544"/>
      <c r="C452" s="513"/>
      <c r="D452" s="545" t="s">
        <v>25</v>
      </c>
      <c r="E452" s="514" t="s">
        <v>41</v>
      </c>
      <c r="F452" s="546">
        <v>0.6</v>
      </c>
      <c r="G452" s="547">
        <v>28.33</v>
      </c>
      <c r="H452" s="548">
        <f>F452*G452</f>
        <v>16.997999999999998</v>
      </c>
      <c r="I452" s="547"/>
      <c r="J452" s="549"/>
      <c r="K452" s="548"/>
      <c r="L452" s="547"/>
      <c r="M452" s="549"/>
      <c r="N452" s="550"/>
      <c r="O452" s="551"/>
    </row>
    <row r="453" spans="1:15" s="552" customFormat="1" ht="18.75" customHeight="1" x14ac:dyDescent="0.25">
      <c r="A453" s="543"/>
      <c r="B453" s="544"/>
      <c r="C453" s="513"/>
      <c r="D453" s="545" t="s">
        <v>35</v>
      </c>
      <c r="E453" s="514" t="s">
        <v>41</v>
      </c>
      <c r="F453" s="546">
        <v>1.88</v>
      </c>
      <c r="G453" s="547">
        <v>0.13</v>
      </c>
      <c r="H453" s="548">
        <f>F453*G453</f>
        <v>0.24440000000000001</v>
      </c>
      <c r="I453" s="547"/>
      <c r="J453" s="549"/>
      <c r="K453" s="548"/>
      <c r="L453" s="547"/>
      <c r="M453" s="549"/>
      <c r="N453" s="550"/>
      <c r="O453" s="551"/>
    </row>
    <row r="454" spans="1:15" s="23" customFormat="1" ht="14.25" x14ac:dyDescent="0.2">
      <c r="A454" s="136"/>
      <c r="B454" s="128"/>
      <c r="C454" s="32"/>
      <c r="D454" s="123" t="s">
        <v>83</v>
      </c>
      <c r="E454" s="32"/>
      <c r="F454" s="119"/>
      <c r="G454" s="33"/>
      <c r="H454" s="106"/>
      <c r="I454" s="28"/>
      <c r="J454" s="107"/>
      <c r="K454" s="33"/>
      <c r="L454" s="33"/>
      <c r="M454" s="109"/>
      <c r="N454" s="91"/>
      <c r="O454" s="91"/>
    </row>
    <row r="455" spans="1:15" s="23" customFormat="1" ht="22.5" x14ac:dyDescent="0.2">
      <c r="A455" s="223"/>
      <c r="B455" s="224" t="s">
        <v>26</v>
      </c>
      <c r="C455" s="225" t="s">
        <v>406</v>
      </c>
      <c r="D455" s="226" t="s">
        <v>214</v>
      </c>
      <c r="E455" s="225" t="s">
        <v>41</v>
      </c>
      <c r="F455" s="515">
        <f>F448</f>
        <v>1</v>
      </c>
      <c r="G455" s="228"/>
      <c r="H455" s="229">
        <f>ROUND(SUM(H456:H457),2)</f>
        <v>434.9</v>
      </c>
      <c r="I455" s="230">
        <f>ROUND(SUM(I456:I457),2)</f>
        <v>7.09</v>
      </c>
      <c r="J455" s="231">
        <f>(H455+I455)</f>
        <v>441.98999999999995</v>
      </c>
      <c r="K455" s="229">
        <f>F455*H455</f>
        <v>434.9</v>
      </c>
      <c r="L455" s="230">
        <f>F455*I455</f>
        <v>7.09</v>
      </c>
      <c r="M455" s="231">
        <f>K455+L455</f>
        <v>441.98999999999995</v>
      </c>
      <c r="N455" s="227">
        <f>M455*$N$7</f>
        <v>119.69089199999998</v>
      </c>
      <c r="O455" s="227">
        <f>M455+N455</f>
        <v>561.68089199999997</v>
      </c>
    </row>
    <row r="456" spans="1:15" s="552" customFormat="1" ht="18.75" customHeight="1" x14ac:dyDescent="0.25">
      <c r="A456" s="543"/>
      <c r="B456" s="544"/>
      <c r="C456" s="513">
        <v>246</v>
      </c>
      <c r="D456" s="545" t="s">
        <v>766</v>
      </c>
      <c r="E456" s="514" t="s">
        <v>42</v>
      </c>
      <c r="F456" s="546">
        <v>0.75</v>
      </c>
      <c r="G456" s="547">
        <v>9.4499999999999993</v>
      </c>
      <c r="H456" s="548"/>
      <c r="I456" s="547">
        <f>F456*G456</f>
        <v>7.0874999999999995</v>
      </c>
      <c r="J456" s="549"/>
      <c r="K456" s="548"/>
      <c r="L456" s="547"/>
      <c r="M456" s="549"/>
      <c r="N456" s="550"/>
      <c r="O456" s="551"/>
    </row>
    <row r="457" spans="1:15" s="552" customFormat="1" ht="24" customHeight="1" x14ac:dyDescent="0.25">
      <c r="A457" s="543"/>
      <c r="B457" s="544"/>
      <c r="C457" s="513" t="s">
        <v>28</v>
      </c>
      <c r="D457" s="545" t="str">
        <f>D455</f>
        <v>Acabamento cromado para válvula de descarga tipo barra para acionamento - referência: Acabamento Válv. Desc. 1.1/2" Benefit Cr 184906 - Docol ou similar (pne)</v>
      </c>
      <c r="E457" s="514" t="s">
        <v>56</v>
      </c>
      <c r="F457" s="546">
        <v>1</v>
      </c>
      <c r="G457" s="547">
        <v>434.9</v>
      </c>
      <c r="H457" s="548">
        <f>F457*G457</f>
        <v>434.9</v>
      </c>
      <c r="I457" s="547"/>
      <c r="J457" s="549"/>
      <c r="K457" s="548"/>
      <c r="L457" s="547"/>
      <c r="M457" s="549"/>
      <c r="N457" s="550"/>
      <c r="O457" s="551"/>
    </row>
    <row r="458" spans="1:15" s="12" customFormat="1" ht="12.75" x14ac:dyDescent="0.25">
      <c r="A458" s="13"/>
      <c r="B458" s="14"/>
      <c r="C458" s="175"/>
      <c r="D458" s="16"/>
      <c r="E458" s="15"/>
      <c r="F458" s="14"/>
      <c r="G458" s="15"/>
      <c r="H458" s="139"/>
      <c r="I458" s="140"/>
      <c r="J458" s="145"/>
      <c r="K458" s="15"/>
      <c r="L458" s="139"/>
      <c r="M458" s="140"/>
      <c r="N458" s="138"/>
      <c r="O458" s="20"/>
    </row>
    <row r="459" spans="1:15" s="266" customFormat="1" ht="12.75" x14ac:dyDescent="0.2">
      <c r="A459" s="516"/>
      <c r="B459" s="517"/>
      <c r="C459" s="518" t="s">
        <v>184</v>
      </c>
      <c r="D459" s="519" t="s">
        <v>84</v>
      </c>
      <c r="E459" s="520"/>
      <c r="F459" s="519"/>
      <c r="G459" s="520"/>
      <c r="H459" s="521"/>
      <c r="I459" s="522"/>
      <c r="J459" s="523"/>
      <c r="K459" s="521"/>
      <c r="L459" s="522"/>
      <c r="M459" s="523"/>
      <c r="N459" s="524"/>
      <c r="O459" s="525">
        <f>SUM(O461:O487)</f>
        <v>5407.9824225600005</v>
      </c>
    </row>
    <row r="460" spans="1:15" x14ac:dyDescent="0.25">
      <c r="A460" s="137"/>
      <c r="B460" s="127"/>
      <c r="C460" s="9"/>
      <c r="D460" s="125" t="s">
        <v>83</v>
      </c>
      <c r="E460" s="4"/>
      <c r="F460" s="121"/>
      <c r="G460" s="5"/>
      <c r="H460" s="114"/>
      <c r="I460" s="5"/>
      <c r="J460" s="115"/>
      <c r="K460" s="114"/>
      <c r="L460" s="5"/>
      <c r="M460" s="115"/>
      <c r="N460" s="95"/>
      <c r="O460" s="95"/>
    </row>
    <row r="461" spans="1:15" s="23" customFormat="1" ht="14.25" x14ac:dyDescent="0.2">
      <c r="A461" s="223" t="s">
        <v>78</v>
      </c>
      <c r="B461" s="224">
        <v>88497</v>
      </c>
      <c r="C461" s="225" t="s">
        <v>351</v>
      </c>
      <c r="D461" s="232" t="s">
        <v>734</v>
      </c>
      <c r="E461" s="225" t="s">
        <v>94</v>
      </c>
      <c r="F461" s="515">
        <f>'MEMÓRIA DE CÁLCULO'!M39</f>
        <v>18.720000000000002</v>
      </c>
      <c r="G461" s="228"/>
      <c r="H461" s="229">
        <f>ROUND(SUM(H462:H465),2)</f>
        <v>4.12</v>
      </c>
      <c r="I461" s="229">
        <f>ROUND(SUM(I462:I465),2)</f>
        <v>4.9400000000000004</v>
      </c>
      <c r="J461" s="231">
        <f>(H461+I461)</f>
        <v>9.06</v>
      </c>
      <c r="K461" s="229">
        <f>F461*H461</f>
        <v>77.126400000000018</v>
      </c>
      <c r="L461" s="230">
        <f>F461*I461</f>
        <v>92.476800000000026</v>
      </c>
      <c r="M461" s="231">
        <f>K461+L461</f>
        <v>169.60320000000004</v>
      </c>
      <c r="N461" s="227">
        <f>M461*$N$7</f>
        <v>45.928546560000008</v>
      </c>
      <c r="O461" s="227">
        <f>M461+N461</f>
        <v>215.53174656000004</v>
      </c>
    </row>
    <row r="462" spans="1:15" s="552" customFormat="1" ht="15" customHeight="1" x14ac:dyDescent="0.25">
      <c r="A462" s="543"/>
      <c r="B462" s="544" t="s">
        <v>715</v>
      </c>
      <c r="C462" s="513">
        <v>4783</v>
      </c>
      <c r="D462" s="545" t="s">
        <v>738</v>
      </c>
      <c r="E462" s="514" t="s">
        <v>42</v>
      </c>
      <c r="F462" s="546">
        <v>0.312</v>
      </c>
      <c r="G462" s="547">
        <v>12.57</v>
      </c>
      <c r="H462" s="548"/>
      <c r="I462" s="547">
        <f>F462*G462</f>
        <v>3.92184</v>
      </c>
      <c r="J462" s="549"/>
      <c r="K462" s="548"/>
      <c r="L462" s="547"/>
      <c r="M462" s="549"/>
      <c r="N462" s="550"/>
      <c r="O462" s="551"/>
    </row>
    <row r="463" spans="1:15" s="552" customFormat="1" ht="15" customHeight="1" x14ac:dyDescent="0.25">
      <c r="A463" s="543"/>
      <c r="B463" s="544" t="s">
        <v>658</v>
      </c>
      <c r="C463" s="513">
        <v>6111</v>
      </c>
      <c r="D463" s="545" t="s">
        <v>670</v>
      </c>
      <c r="E463" s="514" t="s">
        <v>42</v>
      </c>
      <c r="F463" s="546">
        <v>0.114</v>
      </c>
      <c r="G463" s="547">
        <v>8.92</v>
      </c>
      <c r="H463" s="548"/>
      <c r="I463" s="547">
        <f t="shared" ref="I463" si="52">F463*G463</f>
        <v>1.01688</v>
      </c>
      <c r="J463" s="549"/>
      <c r="K463" s="548"/>
      <c r="L463" s="547"/>
      <c r="M463" s="549"/>
      <c r="N463" s="550"/>
      <c r="O463" s="551"/>
    </row>
    <row r="464" spans="1:15" s="552" customFormat="1" ht="15" customHeight="1" x14ac:dyDescent="0.25">
      <c r="A464" s="543"/>
      <c r="B464" s="544" t="s">
        <v>657</v>
      </c>
      <c r="C464" s="513">
        <v>3767</v>
      </c>
      <c r="D464" s="545" t="s">
        <v>735</v>
      </c>
      <c r="E464" s="514" t="s">
        <v>81</v>
      </c>
      <c r="F464" s="546">
        <v>0.06</v>
      </c>
      <c r="G464" s="547">
        <v>0.73</v>
      </c>
      <c r="H464" s="548">
        <f t="shared" ref="H464" si="53">F464*G464</f>
        <v>4.3799999999999999E-2</v>
      </c>
      <c r="I464" s="547"/>
      <c r="J464" s="549"/>
      <c r="K464" s="548"/>
      <c r="L464" s="547"/>
      <c r="M464" s="549"/>
      <c r="N464" s="550"/>
      <c r="O464" s="551"/>
    </row>
    <row r="465" spans="1:15" s="552" customFormat="1" ht="15" customHeight="1" x14ac:dyDescent="0.25">
      <c r="A465" s="543"/>
      <c r="B465" s="544" t="s">
        <v>657</v>
      </c>
      <c r="C465" s="513">
        <v>4051</v>
      </c>
      <c r="D465" s="545" t="s">
        <v>736</v>
      </c>
      <c r="E465" s="514" t="s">
        <v>737</v>
      </c>
      <c r="F465" s="546">
        <v>4.8899999999999999E-2</v>
      </c>
      <c r="G465" s="547">
        <v>83.3</v>
      </c>
      <c r="H465" s="548">
        <f>F465*G465</f>
        <v>4.0733699999999997</v>
      </c>
      <c r="I465" s="547"/>
      <c r="J465" s="549"/>
      <c r="K465" s="548"/>
      <c r="L465" s="547"/>
      <c r="M465" s="549"/>
      <c r="N465" s="550"/>
      <c r="O465" s="551"/>
    </row>
    <row r="466" spans="1:15" s="23" customFormat="1" ht="14.25" x14ac:dyDescent="0.2">
      <c r="A466" s="137"/>
      <c r="B466" s="127"/>
      <c r="C466" s="9"/>
      <c r="D466" s="125" t="s">
        <v>83</v>
      </c>
      <c r="E466" s="4"/>
      <c r="F466" s="121"/>
      <c r="G466" s="5"/>
      <c r="H466" s="114"/>
      <c r="I466" s="5"/>
      <c r="J466" s="115"/>
      <c r="K466" s="114"/>
      <c r="L466" s="5"/>
      <c r="M466" s="115"/>
      <c r="N466" s="95"/>
      <c r="O466" s="95"/>
    </row>
    <row r="467" spans="1:15" s="23" customFormat="1" ht="14.25" x14ac:dyDescent="0.2">
      <c r="A467" s="223" t="s">
        <v>78</v>
      </c>
      <c r="B467" s="224">
        <v>88489</v>
      </c>
      <c r="C467" s="225" t="s">
        <v>352</v>
      </c>
      <c r="D467" s="226" t="s">
        <v>217</v>
      </c>
      <c r="E467" s="225" t="s">
        <v>94</v>
      </c>
      <c r="F467" s="515">
        <f>'MEMÓRIA DE CÁLCULO'!L39</f>
        <v>302.40000000000003</v>
      </c>
      <c r="G467" s="228"/>
      <c r="H467" s="229">
        <f>ROUND(SUM(H468:H470),2)</f>
        <v>6.07</v>
      </c>
      <c r="I467" s="229">
        <f>ROUND(SUM(I468:I470),2)</f>
        <v>2.97</v>
      </c>
      <c r="J467" s="231">
        <f>(H467+I467)</f>
        <v>9.0400000000000009</v>
      </c>
      <c r="K467" s="229">
        <f>F467*H467</f>
        <v>1835.5680000000002</v>
      </c>
      <c r="L467" s="230">
        <f>F467*I467</f>
        <v>898.12800000000016</v>
      </c>
      <c r="M467" s="231">
        <f>K467+L467</f>
        <v>2733.6960000000004</v>
      </c>
      <c r="N467" s="227">
        <f>M467*$N$7</f>
        <v>740.28487680000001</v>
      </c>
      <c r="O467" s="227">
        <f>M467+N467</f>
        <v>3473.9808768000003</v>
      </c>
    </row>
    <row r="468" spans="1:15" s="552" customFormat="1" ht="15" customHeight="1" x14ac:dyDescent="0.25">
      <c r="A468" s="543"/>
      <c r="B468" s="544" t="s">
        <v>715</v>
      </c>
      <c r="C468" s="513">
        <v>4783</v>
      </c>
      <c r="D468" s="545" t="s">
        <v>738</v>
      </c>
      <c r="E468" s="514" t="s">
        <v>42</v>
      </c>
      <c r="F468" s="546">
        <v>0.187</v>
      </c>
      <c r="G468" s="547">
        <v>12.57</v>
      </c>
      <c r="H468" s="548"/>
      <c r="I468" s="547">
        <f>F468*G468</f>
        <v>2.35059</v>
      </c>
      <c r="J468" s="549"/>
      <c r="K468" s="548"/>
      <c r="L468" s="547"/>
      <c r="M468" s="549"/>
      <c r="N468" s="550"/>
      <c r="O468" s="551"/>
    </row>
    <row r="469" spans="1:15" s="552" customFormat="1" ht="15" customHeight="1" x14ac:dyDescent="0.25">
      <c r="A469" s="543"/>
      <c r="B469" s="544" t="s">
        <v>658</v>
      </c>
      <c r="C469" s="513">
        <v>6111</v>
      </c>
      <c r="D469" s="545" t="s">
        <v>670</v>
      </c>
      <c r="E469" s="514" t="s">
        <v>42</v>
      </c>
      <c r="F469" s="546">
        <v>6.9000000000000006E-2</v>
      </c>
      <c r="G469" s="547">
        <v>8.92</v>
      </c>
      <c r="H469" s="548"/>
      <c r="I469" s="547">
        <f t="shared" ref="I469" si="54">F469*G469</f>
        <v>0.61548000000000003</v>
      </c>
      <c r="J469" s="549"/>
      <c r="K469" s="548"/>
      <c r="L469" s="547"/>
      <c r="M469" s="549"/>
      <c r="N469" s="550"/>
      <c r="O469" s="551"/>
    </row>
    <row r="470" spans="1:15" s="552" customFormat="1" ht="15" customHeight="1" x14ac:dyDescent="0.25">
      <c r="A470" s="543"/>
      <c r="B470" s="544" t="s">
        <v>657</v>
      </c>
      <c r="C470" s="513">
        <v>7356</v>
      </c>
      <c r="D470" s="545" t="s">
        <v>739</v>
      </c>
      <c r="E470" s="514" t="s">
        <v>740</v>
      </c>
      <c r="F470" s="546">
        <v>0.33</v>
      </c>
      <c r="G470" s="547">
        <v>18.38</v>
      </c>
      <c r="H470" s="548">
        <f t="shared" ref="H470" si="55">F470*G470</f>
        <v>6.0654000000000003</v>
      </c>
      <c r="I470" s="547"/>
      <c r="J470" s="549"/>
      <c r="K470" s="548"/>
      <c r="L470" s="547"/>
      <c r="M470" s="549"/>
      <c r="N470" s="550"/>
      <c r="O470" s="551"/>
    </row>
    <row r="471" spans="1:15" x14ac:dyDescent="0.25">
      <c r="A471" s="137"/>
      <c r="B471" s="127"/>
      <c r="C471" s="9"/>
      <c r="D471" s="125" t="s">
        <v>83</v>
      </c>
      <c r="E471" s="4"/>
      <c r="F471" s="121"/>
      <c r="G471" s="5"/>
      <c r="H471" s="114"/>
      <c r="I471" s="5"/>
      <c r="J471" s="115"/>
      <c r="K471" s="114"/>
      <c r="L471" s="5"/>
      <c r="M471" s="115"/>
      <c r="N471" s="95"/>
      <c r="O471" s="95"/>
    </row>
    <row r="472" spans="1:15" s="23" customFormat="1" ht="14.25" x14ac:dyDescent="0.2">
      <c r="A472" s="223" t="s">
        <v>78</v>
      </c>
      <c r="B472" s="224">
        <v>88488</v>
      </c>
      <c r="C472" s="225" t="s">
        <v>353</v>
      </c>
      <c r="D472" s="226" t="s">
        <v>218</v>
      </c>
      <c r="E472" s="225" t="s">
        <v>94</v>
      </c>
      <c r="F472" s="515">
        <f>'MEMÓRIA DE CÁLCULO'!I37</f>
        <v>35</v>
      </c>
      <c r="G472" s="228"/>
      <c r="H472" s="229">
        <f>ROUND(SUM(H473:H475),2)</f>
        <v>6.07</v>
      </c>
      <c r="I472" s="229">
        <f>ROUND(SUM(I473:I475),2)</f>
        <v>3.86</v>
      </c>
      <c r="J472" s="231">
        <f>(H472+I472)</f>
        <v>9.93</v>
      </c>
      <c r="K472" s="229">
        <f>F472*H472</f>
        <v>212.45000000000002</v>
      </c>
      <c r="L472" s="230">
        <f>F472*I472</f>
        <v>135.1</v>
      </c>
      <c r="M472" s="231">
        <f>K472+L472</f>
        <v>347.55</v>
      </c>
      <c r="N472" s="227">
        <f>M472*$N$7</f>
        <v>94.116540000000001</v>
      </c>
      <c r="O472" s="227">
        <f>M472+N472</f>
        <v>441.66654</v>
      </c>
    </row>
    <row r="473" spans="1:15" s="552" customFormat="1" ht="15" customHeight="1" x14ac:dyDescent="0.25">
      <c r="A473" s="543"/>
      <c r="B473" s="544" t="s">
        <v>715</v>
      </c>
      <c r="C473" s="513">
        <v>4783</v>
      </c>
      <c r="D473" s="545" t="s">
        <v>738</v>
      </c>
      <c r="E473" s="514" t="s">
        <v>42</v>
      </c>
      <c r="F473" s="546">
        <v>0.24399999999999999</v>
      </c>
      <c r="G473" s="547">
        <v>12.57</v>
      </c>
      <c r="H473" s="548"/>
      <c r="I473" s="547">
        <f>F473*G473</f>
        <v>3.0670799999999998</v>
      </c>
      <c r="J473" s="549"/>
      <c r="K473" s="548"/>
      <c r="L473" s="547"/>
      <c r="M473" s="549"/>
      <c r="N473" s="550"/>
      <c r="O473" s="551"/>
    </row>
    <row r="474" spans="1:15" s="552" customFormat="1" ht="15" customHeight="1" x14ac:dyDescent="0.25">
      <c r="A474" s="543"/>
      <c r="B474" s="544" t="s">
        <v>658</v>
      </c>
      <c r="C474" s="513">
        <v>6111</v>
      </c>
      <c r="D474" s="545" t="s">
        <v>670</v>
      </c>
      <c r="E474" s="514" t="s">
        <v>42</v>
      </c>
      <c r="F474" s="546">
        <v>8.8999999999999996E-2</v>
      </c>
      <c r="G474" s="547">
        <v>8.92</v>
      </c>
      <c r="H474" s="548"/>
      <c r="I474" s="547">
        <f t="shared" ref="I474" si="56">F474*G474</f>
        <v>0.79387999999999992</v>
      </c>
      <c r="J474" s="549"/>
      <c r="K474" s="548"/>
      <c r="L474" s="547"/>
      <c r="M474" s="549"/>
      <c r="N474" s="550"/>
      <c r="O474" s="551"/>
    </row>
    <row r="475" spans="1:15" s="552" customFormat="1" ht="15" customHeight="1" x14ac:dyDescent="0.25">
      <c r="A475" s="543"/>
      <c r="B475" s="544" t="s">
        <v>657</v>
      </c>
      <c r="C475" s="513">
        <v>7356</v>
      </c>
      <c r="D475" s="545" t="s">
        <v>739</v>
      </c>
      <c r="E475" s="514" t="s">
        <v>740</v>
      </c>
      <c r="F475" s="546">
        <v>0.33</v>
      </c>
      <c r="G475" s="547">
        <v>18.38</v>
      </c>
      <c r="H475" s="548">
        <f t="shared" ref="H475" si="57">F475*G475</f>
        <v>6.0654000000000003</v>
      </c>
      <c r="I475" s="547"/>
      <c r="J475" s="549"/>
      <c r="K475" s="548"/>
      <c r="L475" s="547"/>
      <c r="M475" s="549"/>
      <c r="N475" s="550"/>
      <c r="O475" s="551"/>
    </row>
    <row r="476" spans="1:15" x14ac:dyDescent="0.25">
      <c r="A476" s="137"/>
      <c r="B476" s="127"/>
      <c r="C476" s="9"/>
      <c r="D476" s="125" t="s">
        <v>83</v>
      </c>
      <c r="E476" s="4"/>
      <c r="F476" s="121"/>
      <c r="G476" s="5"/>
      <c r="H476" s="114"/>
      <c r="I476" s="5"/>
      <c r="J476" s="115"/>
      <c r="K476" s="114"/>
      <c r="L476" s="5"/>
      <c r="M476" s="115"/>
      <c r="N476" s="95"/>
      <c r="O476" s="95"/>
    </row>
    <row r="477" spans="1:15" x14ac:dyDescent="0.25">
      <c r="A477" s="137"/>
      <c r="B477" s="127"/>
      <c r="C477" s="9"/>
      <c r="D477" s="125" t="s">
        <v>83</v>
      </c>
      <c r="E477" s="4"/>
      <c r="F477" s="121"/>
      <c r="G477" s="5"/>
      <c r="H477" s="114"/>
      <c r="I477" s="5"/>
      <c r="J477" s="115"/>
      <c r="K477" s="114"/>
      <c r="L477" s="5"/>
      <c r="M477" s="115"/>
      <c r="N477" s="95"/>
      <c r="O477" s="95"/>
    </row>
    <row r="478" spans="1:15" s="23" customFormat="1" ht="22.5" x14ac:dyDescent="0.2">
      <c r="A478" s="223" t="s">
        <v>78</v>
      </c>
      <c r="B478" s="224" t="s">
        <v>741</v>
      </c>
      <c r="C478" s="225" t="s">
        <v>354</v>
      </c>
      <c r="D478" s="226" t="s">
        <v>219</v>
      </c>
      <c r="E478" s="225" t="s">
        <v>94</v>
      </c>
      <c r="F478" s="515">
        <f>'MEMÓRIA DE CÁLCULO'!G72</f>
        <v>56.70000000000001</v>
      </c>
      <c r="G478" s="228"/>
      <c r="H478" s="229">
        <f>ROUND(SUM(H479:H485),2)</f>
        <v>12.4</v>
      </c>
      <c r="I478" s="229">
        <f>ROUND(SUM(I479:I485),2)</f>
        <v>5.32</v>
      </c>
      <c r="J478" s="231">
        <f>(H478+I478)</f>
        <v>17.72</v>
      </c>
      <c r="K478" s="229">
        <f>F478*H478</f>
        <v>703.08000000000015</v>
      </c>
      <c r="L478" s="230">
        <f>F478*I478</f>
        <v>301.64400000000006</v>
      </c>
      <c r="M478" s="231">
        <f>K478+L478</f>
        <v>1004.7240000000002</v>
      </c>
      <c r="N478" s="227">
        <f>M478*$N$7</f>
        <v>272.07925920000002</v>
      </c>
      <c r="O478" s="227">
        <f>M478+N478</f>
        <v>1276.8032592000002</v>
      </c>
    </row>
    <row r="479" spans="1:15" s="552" customFormat="1" ht="15" customHeight="1" x14ac:dyDescent="0.25">
      <c r="A479" s="543"/>
      <c r="B479" s="544" t="s">
        <v>715</v>
      </c>
      <c r="C479" s="513">
        <v>4783</v>
      </c>
      <c r="D479" s="545" t="s">
        <v>738</v>
      </c>
      <c r="E479" s="514" t="s">
        <v>42</v>
      </c>
      <c r="F479" s="546">
        <v>0.312</v>
      </c>
      <c r="G479" s="547">
        <v>12.57</v>
      </c>
      <c r="H479" s="548"/>
      <c r="I479" s="547">
        <f>F479*G479</f>
        <v>3.92184</v>
      </c>
      <c r="J479" s="549"/>
      <c r="K479" s="548"/>
      <c r="L479" s="547"/>
      <c r="M479" s="549"/>
      <c r="N479" s="550"/>
      <c r="O479" s="551"/>
    </row>
    <row r="480" spans="1:15" s="552" customFormat="1" ht="15" customHeight="1" x14ac:dyDescent="0.25">
      <c r="A480" s="543"/>
      <c r="B480" s="544" t="s">
        <v>658</v>
      </c>
      <c r="C480" s="513">
        <v>6111</v>
      </c>
      <c r="D480" s="545" t="s">
        <v>670</v>
      </c>
      <c r="E480" s="514" t="s">
        <v>42</v>
      </c>
      <c r="F480" s="546">
        <v>0.114</v>
      </c>
      <c r="G480" s="547">
        <v>8.92</v>
      </c>
      <c r="H480" s="548"/>
      <c r="I480" s="547">
        <f t="shared" ref="I480" si="58">F480*G480</f>
        <v>1.01688</v>
      </c>
      <c r="J480" s="549"/>
      <c r="K480" s="548"/>
      <c r="L480" s="547"/>
      <c r="M480" s="549"/>
      <c r="N480" s="550"/>
      <c r="O480" s="551"/>
    </row>
    <row r="481" spans="1:15" s="552" customFormat="1" ht="15" customHeight="1" x14ac:dyDescent="0.25">
      <c r="A481" s="543"/>
      <c r="B481" s="544" t="s">
        <v>657</v>
      </c>
      <c r="C481" s="513">
        <v>3767</v>
      </c>
      <c r="D481" s="545" t="s">
        <v>735</v>
      </c>
      <c r="E481" s="514" t="s">
        <v>81</v>
      </c>
      <c r="F481" s="546">
        <v>0.06</v>
      </c>
      <c r="G481" s="547">
        <v>0.73</v>
      </c>
      <c r="H481" s="548">
        <f t="shared" ref="H481" si="59">F481*G481</f>
        <v>4.3799999999999999E-2</v>
      </c>
      <c r="I481" s="547"/>
      <c r="J481" s="549"/>
      <c r="K481" s="548"/>
      <c r="L481" s="547"/>
      <c r="M481" s="549"/>
      <c r="N481" s="550"/>
      <c r="O481" s="551"/>
    </row>
    <row r="482" spans="1:15" s="552" customFormat="1" ht="15" customHeight="1" x14ac:dyDescent="0.25">
      <c r="A482" s="543"/>
      <c r="B482" s="544" t="s">
        <v>657</v>
      </c>
      <c r="C482" s="513">
        <v>4051</v>
      </c>
      <c r="D482" s="545" t="s">
        <v>736</v>
      </c>
      <c r="E482" s="514" t="s">
        <v>737</v>
      </c>
      <c r="F482" s="546">
        <v>4.8899999999999999E-2</v>
      </c>
      <c r="G482" s="547">
        <v>83.3</v>
      </c>
      <c r="H482" s="548">
        <f>F482*G482</f>
        <v>4.0733699999999997</v>
      </c>
      <c r="I482" s="547"/>
      <c r="J482" s="549"/>
      <c r="K482" s="548"/>
      <c r="L482" s="547"/>
      <c r="M482" s="549"/>
      <c r="N482" s="550"/>
      <c r="O482" s="551"/>
    </row>
    <row r="483" spans="1:15" s="552" customFormat="1" ht="15" customHeight="1" x14ac:dyDescent="0.25">
      <c r="A483" s="543"/>
      <c r="B483" s="544" t="s">
        <v>658</v>
      </c>
      <c r="C483" s="513">
        <v>5318</v>
      </c>
      <c r="D483" s="545" t="s">
        <v>742</v>
      </c>
      <c r="E483" s="514" t="s">
        <v>740</v>
      </c>
      <c r="F483" s="546">
        <v>0.04</v>
      </c>
      <c r="G483" s="547">
        <v>9.5</v>
      </c>
      <c r="H483" s="548"/>
      <c r="I483" s="547">
        <f t="shared" ref="I483" si="60">F483*G483</f>
        <v>0.38</v>
      </c>
      <c r="J483" s="549"/>
      <c r="K483" s="548"/>
      <c r="L483" s="547"/>
      <c r="M483" s="549"/>
      <c r="N483" s="550"/>
      <c r="O483" s="551"/>
    </row>
    <row r="484" spans="1:15" s="552" customFormat="1" ht="15" customHeight="1" x14ac:dyDescent="0.25">
      <c r="A484" s="543"/>
      <c r="B484" s="544" t="s">
        <v>657</v>
      </c>
      <c r="C484" s="513">
        <v>6086</v>
      </c>
      <c r="D484" s="545" t="s">
        <v>743</v>
      </c>
      <c r="E484" s="514" t="s">
        <v>744</v>
      </c>
      <c r="F484" s="546">
        <v>5.6000000000000001E-2</v>
      </c>
      <c r="G484" s="547">
        <v>82.34</v>
      </c>
      <c r="H484" s="548">
        <f t="shared" ref="H484" si="61">F484*G484</f>
        <v>4.61104</v>
      </c>
      <c r="I484" s="547"/>
      <c r="J484" s="549"/>
      <c r="K484" s="548"/>
      <c r="L484" s="547"/>
      <c r="M484" s="549"/>
      <c r="N484" s="550"/>
      <c r="O484" s="551"/>
    </row>
    <row r="485" spans="1:15" s="552" customFormat="1" ht="15" customHeight="1" x14ac:dyDescent="0.25">
      <c r="A485" s="543"/>
      <c r="B485" s="544" t="s">
        <v>657</v>
      </c>
      <c r="C485" s="513">
        <v>7311</v>
      </c>
      <c r="D485" s="545" t="s">
        <v>745</v>
      </c>
      <c r="E485" s="514" t="s">
        <v>740</v>
      </c>
      <c r="F485" s="546">
        <v>0.16</v>
      </c>
      <c r="G485" s="547">
        <v>22.92</v>
      </c>
      <c r="H485" s="548">
        <f>F485*G485</f>
        <v>3.6672000000000002</v>
      </c>
      <c r="I485" s="547"/>
      <c r="J485" s="549"/>
      <c r="K485" s="548"/>
      <c r="L485" s="547"/>
      <c r="M485" s="549"/>
      <c r="N485" s="550"/>
      <c r="O485" s="551"/>
    </row>
    <row r="486" spans="1:15" x14ac:dyDescent="0.25">
      <c r="A486" s="137"/>
      <c r="B486" s="127"/>
      <c r="C486" s="9"/>
      <c r="D486" s="125" t="s">
        <v>83</v>
      </c>
      <c r="E486" s="4"/>
      <c r="F486" s="121"/>
      <c r="G486" s="5"/>
      <c r="H486" s="114"/>
      <c r="I486" s="5"/>
      <c r="J486" s="115"/>
      <c r="K486" s="114"/>
      <c r="L486" s="5"/>
      <c r="M486" s="115"/>
      <c r="N486" s="95"/>
      <c r="O486" s="95"/>
    </row>
    <row r="487" spans="1:15" x14ac:dyDescent="0.25">
      <c r="A487" s="137"/>
      <c r="B487" s="127"/>
      <c r="C487" s="9"/>
      <c r="D487" s="125" t="s">
        <v>83</v>
      </c>
      <c r="E487" s="4"/>
      <c r="F487" s="121"/>
      <c r="G487" s="5"/>
      <c r="H487" s="114"/>
      <c r="I487" s="5"/>
      <c r="J487" s="115"/>
      <c r="K487" s="114"/>
      <c r="L487" s="5"/>
      <c r="M487" s="115"/>
      <c r="N487" s="95"/>
      <c r="O487" s="95"/>
    </row>
    <row r="488" spans="1:15" s="266" customFormat="1" ht="12.75" x14ac:dyDescent="0.2">
      <c r="A488" s="516"/>
      <c r="B488" s="517"/>
      <c r="C488" s="518" t="s">
        <v>185</v>
      </c>
      <c r="D488" s="519" t="s">
        <v>221</v>
      </c>
      <c r="E488" s="520"/>
      <c r="F488" s="519"/>
      <c r="G488" s="520"/>
      <c r="H488" s="521"/>
      <c r="I488" s="522"/>
      <c r="J488" s="523"/>
      <c r="K488" s="521"/>
      <c r="L488" s="522"/>
      <c r="M488" s="523"/>
      <c r="N488" s="524"/>
      <c r="O488" s="525">
        <f>SUM(O490:O494)</f>
        <v>47.769372000000004</v>
      </c>
    </row>
    <row r="489" spans="1:15" x14ac:dyDescent="0.25">
      <c r="A489" s="137"/>
      <c r="B489" s="127"/>
      <c r="C489" s="9"/>
      <c r="D489" s="125" t="s">
        <v>83</v>
      </c>
      <c r="E489" s="4"/>
      <c r="F489" s="121"/>
      <c r="G489" s="5"/>
      <c r="H489" s="114"/>
      <c r="I489" s="5"/>
      <c r="J489" s="115"/>
      <c r="K489" s="114"/>
      <c r="L489" s="5"/>
      <c r="M489" s="115"/>
      <c r="N489" s="96"/>
      <c r="O489" s="96"/>
    </row>
    <row r="490" spans="1:15" s="23" customFormat="1" ht="22.5" x14ac:dyDescent="0.2">
      <c r="A490" s="223"/>
      <c r="B490" s="224" t="s">
        <v>222</v>
      </c>
      <c r="C490" s="225" t="s">
        <v>355</v>
      </c>
      <c r="D490" s="226" t="s">
        <v>1066</v>
      </c>
      <c r="E490" s="225" t="s">
        <v>41</v>
      </c>
      <c r="F490" s="515">
        <v>7</v>
      </c>
      <c r="G490" s="228"/>
      <c r="H490" s="229">
        <f>ROUND(SUM(H491:H492),2)</f>
        <v>0</v>
      </c>
      <c r="I490" s="229">
        <f>ROUND(SUM(I491:I492),2)</f>
        <v>5.37</v>
      </c>
      <c r="J490" s="231">
        <f>(H490+I490)</f>
        <v>5.37</v>
      </c>
      <c r="K490" s="229">
        <f>F490*H490</f>
        <v>0</v>
      </c>
      <c r="L490" s="230">
        <f>F490*I490</f>
        <v>37.590000000000003</v>
      </c>
      <c r="M490" s="231">
        <f>K490+L490</f>
        <v>37.590000000000003</v>
      </c>
      <c r="N490" s="227">
        <f>M490*$N$7</f>
        <v>10.179372000000001</v>
      </c>
      <c r="O490" s="227">
        <f>M490+N490</f>
        <v>47.769372000000004</v>
      </c>
    </row>
    <row r="491" spans="1:15" s="552" customFormat="1" ht="15" customHeight="1" x14ac:dyDescent="0.25">
      <c r="A491" s="543"/>
      <c r="B491" s="544" t="s">
        <v>715</v>
      </c>
      <c r="C491" s="513">
        <v>4750</v>
      </c>
      <c r="D491" s="545" t="s">
        <v>714</v>
      </c>
      <c r="E491" s="514" t="s">
        <v>42</v>
      </c>
      <c r="F491" s="546">
        <v>0.25</v>
      </c>
      <c r="G491" s="547">
        <v>12.57</v>
      </c>
      <c r="H491" s="548"/>
      <c r="I491" s="547">
        <f>F491*G491</f>
        <v>3.1425000000000001</v>
      </c>
      <c r="J491" s="549"/>
      <c r="K491" s="548"/>
      <c r="L491" s="547"/>
      <c r="M491" s="549"/>
      <c r="N491" s="550"/>
      <c r="O491" s="551"/>
    </row>
    <row r="492" spans="1:15" s="552" customFormat="1" ht="15" customHeight="1" x14ac:dyDescent="0.25">
      <c r="A492" s="543"/>
      <c r="B492" s="544" t="s">
        <v>658</v>
      </c>
      <c r="C492" s="513">
        <v>6111</v>
      </c>
      <c r="D492" s="545" t="s">
        <v>670</v>
      </c>
      <c r="E492" s="514" t="s">
        <v>42</v>
      </c>
      <c r="F492" s="546">
        <v>0.25</v>
      </c>
      <c r="G492" s="547">
        <v>8.92</v>
      </c>
      <c r="H492" s="548"/>
      <c r="I492" s="547">
        <f t="shared" ref="I492" si="62">F492*G492</f>
        <v>2.23</v>
      </c>
      <c r="J492" s="549"/>
      <c r="K492" s="548"/>
      <c r="L492" s="547"/>
      <c r="M492" s="549"/>
      <c r="N492" s="550"/>
      <c r="O492" s="551"/>
    </row>
    <row r="493" spans="1:15" s="179" customFormat="1" ht="11.25" x14ac:dyDescent="0.25">
      <c r="A493" s="173"/>
      <c r="B493" s="174"/>
      <c r="C493" s="175"/>
      <c r="D493" s="176"/>
      <c r="E493" s="177"/>
      <c r="F493" s="178"/>
      <c r="G493" s="33"/>
      <c r="H493" s="108"/>
      <c r="I493" s="33"/>
      <c r="J493" s="109"/>
      <c r="K493" s="108"/>
      <c r="L493" s="33"/>
      <c r="M493" s="109"/>
      <c r="N493" s="92"/>
      <c r="O493" s="222"/>
    </row>
    <row r="494" spans="1:15" s="179" customFormat="1" ht="11.25" x14ac:dyDescent="0.25">
      <c r="A494" s="173"/>
      <c r="B494" s="174"/>
      <c r="C494" s="175"/>
      <c r="D494" s="176"/>
      <c r="E494" s="177"/>
      <c r="F494" s="178"/>
      <c r="G494" s="33"/>
      <c r="H494" s="108"/>
      <c r="I494" s="33"/>
      <c r="J494" s="109"/>
      <c r="K494" s="108"/>
      <c r="L494" s="33"/>
      <c r="M494" s="109"/>
      <c r="N494" s="92"/>
      <c r="O494" s="222"/>
    </row>
    <row r="495" spans="1:15" s="23" customFormat="1" ht="31.5" x14ac:dyDescent="0.2">
      <c r="A495" s="149"/>
      <c r="B495" s="150"/>
      <c r="C495" s="511">
        <v>4</v>
      </c>
      <c r="D495" s="151" t="s">
        <v>495</v>
      </c>
      <c r="E495" s="152"/>
      <c r="F495" s="151"/>
      <c r="G495" s="152"/>
      <c r="H495" s="153"/>
      <c r="I495" s="154"/>
      <c r="J495" s="155"/>
      <c r="K495" s="153"/>
      <c r="L495" s="154"/>
      <c r="M495" s="155"/>
      <c r="N495" s="156"/>
      <c r="O495" s="157">
        <f>SUM(O497:O944)/2</f>
        <v>94903.157193920022</v>
      </c>
    </row>
    <row r="496" spans="1:15" s="23" customFormat="1" ht="14.25" x14ac:dyDescent="0.2">
      <c r="A496" s="134"/>
      <c r="B496" s="129"/>
      <c r="C496" s="29"/>
      <c r="D496" s="117"/>
      <c r="E496" s="30"/>
      <c r="F496" s="118"/>
      <c r="G496" s="31"/>
      <c r="H496" s="104"/>
      <c r="I496" s="27"/>
      <c r="J496" s="105"/>
      <c r="K496" s="104"/>
      <c r="L496" s="27"/>
      <c r="M496" s="105"/>
      <c r="N496" s="93"/>
      <c r="O496" s="93"/>
    </row>
    <row r="497" spans="1:15" s="266" customFormat="1" ht="12.75" x14ac:dyDescent="0.2">
      <c r="A497" s="516"/>
      <c r="B497" s="517"/>
      <c r="C497" s="518" t="s">
        <v>186</v>
      </c>
      <c r="D497" s="519" t="s">
        <v>167</v>
      </c>
      <c r="E497" s="520"/>
      <c r="F497" s="519"/>
      <c r="G497" s="520"/>
      <c r="H497" s="521"/>
      <c r="I497" s="522"/>
      <c r="J497" s="523"/>
      <c r="K497" s="521"/>
      <c r="L497" s="522"/>
      <c r="M497" s="523"/>
      <c r="N497" s="524"/>
      <c r="O497" s="525">
        <f>SUM(O499:O531)</f>
        <v>8136.2971731199987</v>
      </c>
    </row>
    <row r="498" spans="1:15" s="23" customFormat="1" ht="14.25" x14ac:dyDescent="0.2">
      <c r="A498" s="134"/>
      <c r="B498" s="130"/>
      <c r="C498" s="34"/>
      <c r="D498" s="117" t="s">
        <v>83</v>
      </c>
      <c r="E498" s="30"/>
      <c r="F498" s="118"/>
      <c r="G498" s="31"/>
      <c r="H498" s="104"/>
      <c r="I498" s="27"/>
      <c r="J498" s="105"/>
      <c r="K498" s="104"/>
      <c r="L498" s="27"/>
      <c r="M498" s="105"/>
      <c r="N498" s="91"/>
      <c r="O498" s="91"/>
    </row>
    <row r="499" spans="1:15" s="23" customFormat="1" ht="22.5" x14ac:dyDescent="0.2">
      <c r="A499" s="223" t="s">
        <v>78</v>
      </c>
      <c r="B499" s="224">
        <v>85367</v>
      </c>
      <c r="C499" s="225" t="s">
        <v>310</v>
      </c>
      <c r="D499" s="226" t="s">
        <v>227</v>
      </c>
      <c r="E499" s="225" t="s">
        <v>27</v>
      </c>
      <c r="F499" s="515">
        <f>'MEMÓRIA DE CÁLCULO'!D81</f>
        <v>66</v>
      </c>
      <c r="G499" s="228"/>
      <c r="H499" s="229">
        <f>ROUND(SUM(H500:H501),2)</f>
        <v>0</v>
      </c>
      <c r="I499" s="229">
        <f>ROUND(SUM(I500:I501),2)</f>
        <v>8.76</v>
      </c>
      <c r="J499" s="231">
        <f>(H499+I499)</f>
        <v>8.76</v>
      </c>
      <c r="K499" s="229">
        <f>F499*H499</f>
        <v>0</v>
      </c>
      <c r="L499" s="230">
        <f>F499*I499</f>
        <v>578.16</v>
      </c>
      <c r="M499" s="231">
        <f>K499+L499</f>
        <v>578.16</v>
      </c>
      <c r="N499" s="227">
        <f>M499*$N$7</f>
        <v>156.56572799999998</v>
      </c>
      <c r="O499" s="227">
        <f>M499+N499</f>
        <v>734.72572799999989</v>
      </c>
    </row>
    <row r="500" spans="1:15" s="552" customFormat="1" ht="15" customHeight="1" x14ac:dyDescent="0.25">
      <c r="A500" s="543"/>
      <c r="B500" s="544" t="s">
        <v>658</v>
      </c>
      <c r="C500" s="513">
        <v>4750</v>
      </c>
      <c r="D500" s="545" t="s">
        <v>679</v>
      </c>
      <c r="E500" s="514" t="s">
        <v>42</v>
      </c>
      <c r="F500" s="546">
        <v>0.2</v>
      </c>
      <c r="G500" s="547">
        <v>12.57</v>
      </c>
      <c r="H500" s="548"/>
      <c r="I500" s="547">
        <f>F500*G500</f>
        <v>2.5140000000000002</v>
      </c>
      <c r="J500" s="549"/>
      <c r="K500" s="548"/>
      <c r="L500" s="547"/>
      <c r="M500" s="549"/>
      <c r="N500" s="550"/>
      <c r="O500" s="551"/>
    </row>
    <row r="501" spans="1:15" s="552" customFormat="1" ht="15" customHeight="1" x14ac:dyDescent="0.25">
      <c r="A501" s="543"/>
      <c r="B501" s="544" t="s">
        <v>658</v>
      </c>
      <c r="C501" s="513">
        <v>6111</v>
      </c>
      <c r="D501" s="545" t="s">
        <v>670</v>
      </c>
      <c r="E501" s="514" t="s">
        <v>42</v>
      </c>
      <c r="F501" s="546">
        <v>0.7</v>
      </c>
      <c r="G501" s="547">
        <v>8.92</v>
      </c>
      <c r="H501" s="548"/>
      <c r="I501" s="547">
        <f>F501*G501</f>
        <v>6.2439999999999998</v>
      </c>
      <c r="J501" s="549"/>
      <c r="K501" s="548"/>
      <c r="L501" s="547"/>
      <c r="M501" s="549"/>
      <c r="N501" s="550"/>
      <c r="O501" s="551"/>
    </row>
    <row r="502" spans="1:15" s="167" customFormat="1" ht="11.25" x14ac:dyDescent="0.2">
      <c r="A502" s="170"/>
      <c r="B502" s="129"/>
      <c r="C502" s="29"/>
      <c r="D502" s="117"/>
      <c r="E502" s="30"/>
      <c r="F502" s="118"/>
      <c r="G502" s="31"/>
      <c r="H502" s="104"/>
      <c r="I502" s="27"/>
      <c r="J502" s="105"/>
      <c r="K502" s="104"/>
      <c r="L502" s="27"/>
      <c r="M502" s="105"/>
      <c r="N502" s="93"/>
      <c r="O502" s="206"/>
    </row>
    <row r="503" spans="1:15" s="23" customFormat="1" ht="22.5" x14ac:dyDescent="0.2">
      <c r="A503" s="223" t="s">
        <v>78</v>
      </c>
      <c r="B503" s="224">
        <v>72223</v>
      </c>
      <c r="C503" s="225" t="s">
        <v>311</v>
      </c>
      <c r="D503" s="226" t="s">
        <v>508</v>
      </c>
      <c r="E503" s="225" t="s">
        <v>58</v>
      </c>
      <c r="F503" s="515">
        <f>'MEMÓRIA DE CÁLCULO'!D84</f>
        <v>41</v>
      </c>
      <c r="G503" s="228"/>
      <c r="H503" s="229">
        <f>ROUND(SUM(H504:H505),2)</f>
        <v>0</v>
      </c>
      <c r="I503" s="229">
        <f>ROUND(SUM(I504:I505),2)</f>
        <v>9.91</v>
      </c>
      <c r="J503" s="231">
        <f>(H503+I503)</f>
        <v>9.91</v>
      </c>
      <c r="K503" s="229">
        <f>F503*H503</f>
        <v>0</v>
      </c>
      <c r="L503" s="230">
        <f>F503*I503</f>
        <v>406.31</v>
      </c>
      <c r="M503" s="231">
        <f>K503+L503</f>
        <v>406.31</v>
      </c>
      <c r="N503" s="227">
        <f>M503*$N$7</f>
        <v>110.02874799999999</v>
      </c>
      <c r="O503" s="227">
        <f>M503+N503</f>
        <v>516.33874800000001</v>
      </c>
    </row>
    <row r="504" spans="1:15" s="552" customFormat="1" ht="15" customHeight="1" x14ac:dyDescent="0.25">
      <c r="A504" s="543"/>
      <c r="B504" s="544" t="s">
        <v>658</v>
      </c>
      <c r="C504" s="513">
        <v>1214</v>
      </c>
      <c r="D504" s="545" t="s">
        <v>680</v>
      </c>
      <c r="E504" s="514" t="s">
        <v>42</v>
      </c>
      <c r="F504" s="546">
        <v>0.8</v>
      </c>
      <c r="G504" s="547">
        <v>12.39</v>
      </c>
      <c r="H504" s="548"/>
      <c r="I504" s="547">
        <f>F504*G504</f>
        <v>9.9120000000000008</v>
      </c>
      <c r="J504" s="549"/>
      <c r="K504" s="548"/>
      <c r="L504" s="547"/>
      <c r="M504" s="549"/>
      <c r="N504" s="550"/>
      <c r="O504" s="551"/>
    </row>
    <row r="505" spans="1:15" s="167" customFormat="1" ht="11.25" x14ac:dyDescent="0.2">
      <c r="A505" s="170"/>
      <c r="B505" s="129"/>
      <c r="C505" s="29"/>
      <c r="D505" s="117" t="s">
        <v>83</v>
      </c>
      <c r="E505" s="30"/>
      <c r="F505" s="118"/>
      <c r="G505" s="31"/>
      <c r="H505" s="104"/>
      <c r="I505" s="27"/>
      <c r="J505" s="105"/>
      <c r="K505" s="104"/>
      <c r="L505" s="27"/>
      <c r="M505" s="105"/>
      <c r="N505" s="92"/>
      <c r="O505" s="169"/>
    </row>
    <row r="506" spans="1:15" s="23" customFormat="1" ht="22.5" x14ac:dyDescent="0.2">
      <c r="A506" s="223" t="s">
        <v>78</v>
      </c>
      <c r="B506" s="224">
        <v>85397</v>
      </c>
      <c r="C506" s="225" t="s">
        <v>536</v>
      </c>
      <c r="D506" s="226" t="s">
        <v>228</v>
      </c>
      <c r="E506" s="225" t="s">
        <v>27</v>
      </c>
      <c r="F506" s="515">
        <f>'MEMÓRIA DE CÁLCULO'!D87</f>
        <v>240</v>
      </c>
      <c r="G506" s="228"/>
      <c r="H506" s="229">
        <f>ROUND(SUM(H507:H508),2)</f>
        <v>0</v>
      </c>
      <c r="I506" s="229">
        <f>ROUND(SUM(I507:I508),2)</f>
        <v>12.21</v>
      </c>
      <c r="J506" s="231">
        <f>(H506+I506)</f>
        <v>12.21</v>
      </c>
      <c r="K506" s="229">
        <f>F506*H506</f>
        <v>0</v>
      </c>
      <c r="L506" s="230">
        <f>F506*I506</f>
        <v>2930.4</v>
      </c>
      <c r="M506" s="231">
        <f>K506+L506</f>
        <v>2930.4</v>
      </c>
      <c r="N506" s="227">
        <f>M506*$N$7</f>
        <v>793.55232000000001</v>
      </c>
      <c r="O506" s="227">
        <f>M506+N506</f>
        <v>3723.9523200000003</v>
      </c>
    </row>
    <row r="507" spans="1:15" s="552" customFormat="1" ht="15" customHeight="1" x14ac:dyDescent="0.25">
      <c r="A507" s="543"/>
      <c r="B507" s="544" t="s">
        <v>658</v>
      </c>
      <c r="C507" s="513">
        <v>4750</v>
      </c>
      <c r="D507" s="545" t="s">
        <v>679</v>
      </c>
      <c r="E507" s="514" t="s">
        <v>42</v>
      </c>
      <c r="F507" s="546">
        <v>0.12</v>
      </c>
      <c r="G507" s="547">
        <v>12.57</v>
      </c>
      <c r="H507" s="548"/>
      <c r="I507" s="547">
        <f>F507*G507</f>
        <v>1.5084</v>
      </c>
      <c r="J507" s="549"/>
      <c r="K507" s="548"/>
      <c r="L507" s="547"/>
      <c r="M507" s="549"/>
      <c r="N507" s="550"/>
      <c r="O507" s="551"/>
    </row>
    <row r="508" spans="1:15" s="552" customFormat="1" ht="15" customHeight="1" x14ac:dyDescent="0.25">
      <c r="A508" s="543"/>
      <c r="B508" s="544" t="s">
        <v>658</v>
      </c>
      <c r="C508" s="513">
        <v>6111</v>
      </c>
      <c r="D508" s="545" t="s">
        <v>670</v>
      </c>
      <c r="E508" s="514" t="s">
        <v>42</v>
      </c>
      <c r="F508" s="546">
        <v>1.2</v>
      </c>
      <c r="G508" s="547">
        <v>8.92</v>
      </c>
      <c r="H508" s="548"/>
      <c r="I508" s="547">
        <f>F508*G508</f>
        <v>10.703999999999999</v>
      </c>
      <c r="J508" s="549"/>
      <c r="K508" s="548"/>
      <c r="L508" s="547"/>
      <c r="M508" s="549"/>
      <c r="N508" s="550"/>
      <c r="O508" s="551"/>
    </row>
    <row r="509" spans="1:15" s="167" customFormat="1" ht="11.25" x14ac:dyDescent="0.2">
      <c r="A509" s="170"/>
      <c r="B509" s="129"/>
      <c r="C509" s="29"/>
      <c r="D509" s="117"/>
      <c r="E509" s="30"/>
      <c r="F509" s="118"/>
      <c r="G509" s="31"/>
      <c r="H509" s="104"/>
      <c r="I509" s="27"/>
      <c r="J509" s="105"/>
      <c r="K509" s="104"/>
      <c r="L509" s="27"/>
      <c r="M509" s="105"/>
      <c r="N509" s="93"/>
      <c r="O509" s="206"/>
    </row>
    <row r="510" spans="1:15" s="23" customFormat="1" ht="22.5" x14ac:dyDescent="0.2">
      <c r="A510" s="223" t="s">
        <v>78</v>
      </c>
      <c r="B510" s="224">
        <v>85397</v>
      </c>
      <c r="C510" s="225" t="s">
        <v>357</v>
      </c>
      <c r="D510" s="226" t="s">
        <v>229</v>
      </c>
      <c r="E510" s="225" t="s">
        <v>58</v>
      </c>
      <c r="F510" s="515">
        <f>'MEMÓRIA DE CÁLCULO'!D90</f>
        <v>2</v>
      </c>
      <c r="G510" s="228"/>
      <c r="H510" s="229">
        <f>ROUND(SUM(H511:H512),2)</f>
        <v>0</v>
      </c>
      <c r="I510" s="229">
        <f>ROUND(SUM(I511:I512),2)</f>
        <v>13.38</v>
      </c>
      <c r="J510" s="231">
        <f>(H510+I510)</f>
        <v>13.38</v>
      </c>
      <c r="K510" s="229">
        <f>F510*H510</f>
        <v>0</v>
      </c>
      <c r="L510" s="230">
        <f>F510*I510</f>
        <v>26.76</v>
      </c>
      <c r="M510" s="231">
        <f>K510+L510</f>
        <v>26.76</v>
      </c>
      <c r="N510" s="227">
        <f>M510*$N$7</f>
        <v>7.2466080000000002</v>
      </c>
      <c r="O510" s="227">
        <f>M510+N510</f>
        <v>34.006608</v>
      </c>
    </row>
    <row r="511" spans="1:15" s="552" customFormat="1" ht="15" customHeight="1" x14ac:dyDescent="0.25">
      <c r="A511" s="543"/>
      <c r="B511" s="544" t="s">
        <v>658</v>
      </c>
      <c r="C511" s="513">
        <v>6111</v>
      </c>
      <c r="D511" s="545" t="s">
        <v>670</v>
      </c>
      <c r="E511" s="514" t="s">
        <v>42</v>
      </c>
      <c r="F511" s="546">
        <v>1.5</v>
      </c>
      <c r="G511" s="547">
        <v>8.92</v>
      </c>
      <c r="H511" s="548"/>
      <c r="I511" s="547">
        <f>F511*G511</f>
        <v>13.379999999999999</v>
      </c>
      <c r="J511" s="549"/>
      <c r="K511" s="548"/>
      <c r="L511" s="547"/>
      <c r="M511" s="549"/>
      <c r="N511" s="550"/>
      <c r="O511" s="551"/>
    </row>
    <row r="512" spans="1:15" s="167" customFormat="1" ht="11.25" x14ac:dyDescent="0.2">
      <c r="A512" s="170"/>
      <c r="B512" s="129"/>
      <c r="C512" s="29"/>
      <c r="D512" s="117" t="s">
        <v>83</v>
      </c>
      <c r="E512" s="30"/>
      <c r="F512" s="118"/>
      <c r="G512" s="31"/>
      <c r="H512" s="104"/>
      <c r="I512" s="27"/>
      <c r="J512" s="105"/>
      <c r="K512" s="104"/>
      <c r="L512" s="27"/>
      <c r="M512" s="105"/>
      <c r="N512" s="93"/>
      <c r="O512" s="206"/>
    </row>
    <row r="513" spans="1:15" s="23" customFormat="1" ht="22.5" x14ac:dyDescent="0.2">
      <c r="A513" s="223"/>
      <c r="B513" s="224" t="s">
        <v>231</v>
      </c>
      <c r="C513" s="225" t="s">
        <v>358</v>
      </c>
      <c r="D513" s="226" t="s">
        <v>292</v>
      </c>
      <c r="E513" s="225" t="s">
        <v>41</v>
      </c>
      <c r="F513" s="515">
        <f>'MEMÓRIA DE CÁLCULO'!D93</f>
        <v>10</v>
      </c>
      <c r="G513" s="228"/>
      <c r="H513" s="229">
        <f>ROUND(SUM(H514:H515),2)</f>
        <v>0</v>
      </c>
      <c r="I513" s="229">
        <f>ROUND(SUM(I514:I515),2)</f>
        <v>8.92</v>
      </c>
      <c r="J513" s="231">
        <f>(H513+I513)</f>
        <v>8.92</v>
      </c>
      <c r="K513" s="229">
        <f>F513*H513</f>
        <v>0</v>
      </c>
      <c r="L513" s="230">
        <f>F513*I513</f>
        <v>89.2</v>
      </c>
      <c r="M513" s="231">
        <f>K513+L513</f>
        <v>89.2</v>
      </c>
      <c r="N513" s="227">
        <f>M513*$N$7</f>
        <v>24.155359999999998</v>
      </c>
      <c r="O513" s="227">
        <f>M513+N513</f>
        <v>113.35536</v>
      </c>
    </row>
    <row r="514" spans="1:15" s="552" customFormat="1" ht="15" customHeight="1" x14ac:dyDescent="0.25">
      <c r="A514" s="543"/>
      <c r="B514" s="544" t="s">
        <v>658</v>
      </c>
      <c r="C514" s="513">
        <v>6111</v>
      </c>
      <c r="D514" s="545" t="s">
        <v>670</v>
      </c>
      <c r="E514" s="514" t="s">
        <v>42</v>
      </c>
      <c r="F514" s="546">
        <v>1</v>
      </c>
      <c r="G514" s="547">
        <v>8.92</v>
      </c>
      <c r="H514" s="548"/>
      <c r="I514" s="547">
        <f>F514*G514</f>
        <v>8.92</v>
      </c>
      <c r="J514" s="549"/>
      <c r="K514" s="548"/>
      <c r="L514" s="547"/>
      <c r="M514" s="549"/>
      <c r="N514" s="550"/>
      <c r="O514" s="551"/>
    </row>
    <row r="515" spans="1:15" s="167" customFormat="1" ht="11.25" x14ac:dyDescent="0.2">
      <c r="A515" s="170"/>
      <c r="B515" s="129"/>
      <c r="C515" s="29"/>
      <c r="D515" s="117"/>
      <c r="E515" s="30"/>
      <c r="F515" s="118"/>
      <c r="G515" s="31"/>
      <c r="H515" s="104"/>
      <c r="I515" s="27"/>
      <c r="J515" s="105"/>
      <c r="K515" s="104"/>
      <c r="L515" s="27"/>
      <c r="M515" s="105"/>
      <c r="N515" s="93"/>
      <c r="O515" s="206"/>
    </row>
    <row r="516" spans="1:15" s="23" customFormat="1" ht="22.5" x14ac:dyDescent="0.2">
      <c r="A516" s="223"/>
      <c r="B516" s="224" t="s">
        <v>231</v>
      </c>
      <c r="C516" s="225" t="s">
        <v>359</v>
      </c>
      <c r="D516" s="226" t="s">
        <v>293</v>
      </c>
      <c r="E516" s="225" t="s">
        <v>56</v>
      </c>
      <c r="F516" s="515">
        <f>'MEMÓRIA DE CÁLCULO'!D96</f>
        <v>10</v>
      </c>
      <c r="G516" s="228"/>
      <c r="H516" s="229">
        <f>ROUND(SUM(H517:H518),2)</f>
        <v>0</v>
      </c>
      <c r="I516" s="229">
        <f>ROUND(SUM(I517:I518),2)</f>
        <v>8.92</v>
      </c>
      <c r="J516" s="231">
        <f>(H516+I516)</f>
        <v>8.92</v>
      </c>
      <c r="K516" s="229">
        <f>F516*H516</f>
        <v>0</v>
      </c>
      <c r="L516" s="230">
        <f>F516*I516</f>
        <v>89.2</v>
      </c>
      <c r="M516" s="231">
        <f>K516+L516</f>
        <v>89.2</v>
      </c>
      <c r="N516" s="227">
        <f>M516*$N$7</f>
        <v>24.155359999999998</v>
      </c>
      <c r="O516" s="227">
        <f>M516+N516</f>
        <v>113.35536</v>
      </c>
    </row>
    <row r="517" spans="1:15" s="552" customFormat="1" ht="15" customHeight="1" x14ac:dyDescent="0.25">
      <c r="A517" s="543"/>
      <c r="B517" s="544" t="s">
        <v>658</v>
      </c>
      <c r="C517" s="513">
        <v>6111</v>
      </c>
      <c r="D517" s="545" t="s">
        <v>670</v>
      </c>
      <c r="E517" s="514" t="s">
        <v>42</v>
      </c>
      <c r="F517" s="546">
        <v>1</v>
      </c>
      <c r="G517" s="547">
        <v>8.92</v>
      </c>
      <c r="H517" s="548"/>
      <c r="I517" s="547">
        <f>F517*G517</f>
        <v>8.92</v>
      </c>
      <c r="J517" s="549"/>
      <c r="K517" s="548"/>
      <c r="L517" s="547"/>
      <c r="M517" s="549"/>
      <c r="N517" s="550"/>
      <c r="O517" s="551"/>
    </row>
    <row r="518" spans="1:15" s="167" customFormat="1" ht="11.25" x14ac:dyDescent="0.2">
      <c r="A518" s="170"/>
      <c r="B518" s="129"/>
      <c r="C518" s="29"/>
      <c r="D518" s="117"/>
      <c r="E518" s="30"/>
      <c r="F518" s="118"/>
      <c r="G518" s="31"/>
      <c r="H518" s="104"/>
      <c r="I518" s="27"/>
      <c r="J518" s="105"/>
      <c r="K518" s="104"/>
      <c r="L518" s="27"/>
      <c r="M518" s="105"/>
      <c r="N518" s="93"/>
      <c r="O518" s="206"/>
    </row>
    <row r="519" spans="1:15" s="23" customFormat="1" ht="22.5" x14ac:dyDescent="0.2">
      <c r="A519" s="223"/>
      <c r="B519" s="224" t="s">
        <v>231</v>
      </c>
      <c r="C519" s="225" t="s">
        <v>360</v>
      </c>
      <c r="D519" s="226" t="s">
        <v>294</v>
      </c>
      <c r="E519" s="225" t="s">
        <v>58</v>
      </c>
      <c r="F519" s="515">
        <v>5</v>
      </c>
      <c r="G519" s="228"/>
      <c r="H519" s="229">
        <f>ROUND(SUM(H520:H521),2)</f>
        <v>0</v>
      </c>
      <c r="I519" s="229">
        <f>ROUND(SUM(I520:I521),2)</f>
        <v>8.92</v>
      </c>
      <c r="J519" s="231">
        <f>(H519+I519)</f>
        <v>8.92</v>
      </c>
      <c r="K519" s="229">
        <f>F519*H519</f>
        <v>0</v>
      </c>
      <c r="L519" s="230">
        <f>F519*I519</f>
        <v>44.6</v>
      </c>
      <c r="M519" s="231">
        <f>K519+L519</f>
        <v>44.6</v>
      </c>
      <c r="N519" s="227">
        <f>M519*$N$7</f>
        <v>12.077679999999999</v>
      </c>
      <c r="O519" s="227">
        <f>M519+N519</f>
        <v>56.677680000000002</v>
      </c>
    </row>
    <row r="520" spans="1:15" s="552" customFormat="1" ht="15" customHeight="1" x14ac:dyDescent="0.25">
      <c r="A520" s="543"/>
      <c r="B520" s="544" t="s">
        <v>658</v>
      </c>
      <c r="C520" s="513">
        <v>6111</v>
      </c>
      <c r="D520" s="545" t="s">
        <v>670</v>
      </c>
      <c r="E520" s="514" t="s">
        <v>42</v>
      </c>
      <c r="F520" s="546">
        <v>1</v>
      </c>
      <c r="G520" s="547">
        <v>8.92</v>
      </c>
      <c r="H520" s="548"/>
      <c r="I520" s="547">
        <f>F520*G520</f>
        <v>8.92</v>
      </c>
      <c r="J520" s="549"/>
      <c r="K520" s="548"/>
      <c r="L520" s="547"/>
      <c r="M520" s="549"/>
      <c r="N520" s="550"/>
      <c r="O520" s="551"/>
    </row>
    <row r="521" spans="1:15" s="167" customFormat="1" ht="11.25" x14ac:dyDescent="0.2">
      <c r="A521" s="170"/>
      <c r="B521" s="129"/>
      <c r="C521" s="29"/>
      <c r="D521" s="117"/>
      <c r="E521" s="30"/>
      <c r="F521" s="118"/>
      <c r="G521" s="31"/>
      <c r="H521" s="104"/>
      <c r="I521" s="27"/>
      <c r="J521" s="105"/>
      <c r="K521" s="104"/>
      <c r="L521" s="27"/>
      <c r="M521" s="105"/>
      <c r="N521" s="93"/>
      <c r="O521" s="206"/>
    </row>
    <row r="522" spans="1:15" s="23" customFormat="1" ht="22.5" x14ac:dyDescent="0.2">
      <c r="A522" s="223" t="s">
        <v>78</v>
      </c>
      <c r="B522" s="224">
        <v>72215</v>
      </c>
      <c r="C522" s="225" t="s">
        <v>361</v>
      </c>
      <c r="D522" s="226" t="s">
        <v>295</v>
      </c>
      <c r="E522" s="225" t="s">
        <v>168</v>
      </c>
      <c r="F522" s="515">
        <f>'MEMÓRIA DE CÁLCULO'!D98</f>
        <v>2.2680000000000002</v>
      </c>
      <c r="G522" s="228"/>
      <c r="H522" s="229">
        <f>ROUND(SUM(H523:H524),2)</f>
        <v>0</v>
      </c>
      <c r="I522" s="229">
        <f>ROUND(SUM(I523:I524),2)</f>
        <v>22.3</v>
      </c>
      <c r="J522" s="231">
        <f>(H522+I522)</f>
        <v>22.3</v>
      </c>
      <c r="K522" s="229">
        <f>F522*H522</f>
        <v>0</v>
      </c>
      <c r="L522" s="230">
        <f>F522*I522</f>
        <v>50.576400000000007</v>
      </c>
      <c r="M522" s="231">
        <f>K522+L522</f>
        <v>50.576400000000007</v>
      </c>
      <c r="N522" s="227">
        <f>M522*$N$7</f>
        <v>13.696089120000002</v>
      </c>
      <c r="O522" s="227">
        <f>M522+N522</f>
        <v>64.272489120000003</v>
      </c>
    </row>
    <row r="523" spans="1:15" s="552" customFormat="1" ht="15" customHeight="1" x14ac:dyDescent="0.25">
      <c r="A523" s="543"/>
      <c r="B523" s="544" t="s">
        <v>658</v>
      </c>
      <c r="C523" s="513">
        <v>6111</v>
      </c>
      <c r="D523" s="545" t="s">
        <v>670</v>
      </c>
      <c r="E523" s="514" t="s">
        <v>42</v>
      </c>
      <c r="F523" s="546">
        <v>2.5</v>
      </c>
      <c r="G523" s="547">
        <v>8.92</v>
      </c>
      <c r="H523" s="548"/>
      <c r="I523" s="547">
        <f>F523*G523</f>
        <v>22.3</v>
      </c>
      <c r="J523" s="549"/>
      <c r="K523" s="548"/>
      <c r="L523" s="547"/>
      <c r="M523" s="549"/>
      <c r="N523" s="550"/>
      <c r="O523" s="551"/>
    </row>
    <row r="524" spans="1:15" s="167" customFormat="1" ht="11.25" x14ac:dyDescent="0.2">
      <c r="A524" s="170"/>
      <c r="B524" s="129"/>
      <c r="C524" s="29"/>
      <c r="D524" s="117" t="s">
        <v>83</v>
      </c>
      <c r="E524" s="30"/>
      <c r="F524" s="118"/>
      <c r="G524" s="31"/>
      <c r="H524" s="104"/>
      <c r="I524" s="27"/>
      <c r="J524" s="105"/>
      <c r="K524" s="104"/>
      <c r="L524" s="27"/>
      <c r="M524" s="105"/>
      <c r="N524" s="92"/>
      <c r="O524" s="169"/>
    </row>
    <row r="525" spans="1:15" s="23" customFormat="1" ht="22.5" x14ac:dyDescent="0.2">
      <c r="A525" s="223" t="s">
        <v>79</v>
      </c>
      <c r="B525" s="224" t="s">
        <v>496</v>
      </c>
      <c r="C525" s="225" t="s">
        <v>362</v>
      </c>
      <c r="D525" s="226" t="s">
        <v>497</v>
      </c>
      <c r="E525" s="225" t="s">
        <v>81</v>
      </c>
      <c r="F525" s="515">
        <f>F712</f>
        <v>6</v>
      </c>
      <c r="G525" s="228"/>
      <c r="H525" s="229">
        <f>ROUND(SUM(H526:H527),2)</f>
        <v>0</v>
      </c>
      <c r="I525" s="229">
        <f>ROUND(SUM(I526:I527),2)</f>
        <v>65.62</v>
      </c>
      <c r="J525" s="231">
        <v>29.8</v>
      </c>
      <c r="K525" s="229">
        <v>544.17000000000007</v>
      </c>
      <c r="L525" s="230">
        <v>570.35000000000014</v>
      </c>
      <c r="M525" s="231">
        <v>1114.5200000000002</v>
      </c>
      <c r="N525" s="227">
        <v>275.28644000000003</v>
      </c>
      <c r="O525" s="227">
        <v>1389.8064400000003</v>
      </c>
    </row>
    <row r="526" spans="1:15" s="552" customFormat="1" ht="15" customHeight="1" x14ac:dyDescent="0.25">
      <c r="A526" s="543"/>
      <c r="B526" s="544"/>
      <c r="C526" s="513"/>
      <c r="D526" s="545" t="str">
        <f>D525</f>
        <v>Furo em concreto com coroas diamantadas, utilizando perfuratriz elétrica Ø 5" a 5 1/4" profundidade 40 cm</v>
      </c>
      <c r="E526" s="514" t="s">
        <v>81</v>
      </c>
      <c r="F526" s="546">
        <v>1</v>
      </c>
      <c r="G526" s="547">
        <v>65.62</v>
      </c>
      <c r="H526" s="548"/>
      <c r="I526" s="547">
        <f>F526*G526</f>
        <v>65.62</v>
      </c>
      <c r="J526" s="549"/>
      <c r="K526" s="548"/>
      <c r="L526" s="547"/>
      <c r="M526" s="549"/>
      <c r="N526" s="550"/>
      <c r="O526" s="551"/>
    </row>
    <row r="527" spans="1:15" s="167" customFormat="1" ht="11.25" x14ac:dyDescent="0.2">
      <c r="A527" s="170"/>
      <c r="B527" s="129"/>
      <c r="C527" s="29"/>
      <c r="D527" s="117" t="s">
        <v>83</v>
      </c>
      <c r="E527" s="30"/>
      <c r="F527" s="476"/>
      <c r="G527" s="477"/>
      <c r="H527" s="478"/>
      <c r="I527" s="479"/>
      <c r="J527" s="480"/>
      <c r="K527" s="478"/>
      <c r="L527" s="479"/>
      <c r="M527" s="480"/>
      <c r="N527" s="93"/>
      <c r="O527" s="206"/>
    </row>
    <row r="528" spans="1:15" s="23" customFormat="1" ht="22.5" x14ac:dyDescent="0.2">
      <c r="A528" s="223" t="s">
        <v>79</v>
      </c>
      <c r="B528" s="224" t="s">
        <v>498</v>
      </c>
      <c r="C528" s="225" t="s">
        <v>537</v>
      </c>
      <c r="D528" s="226" t="s">
        <v>499</v>
      </c>
      <c r="E528" s="225" t="s">
        <v>81</v>
      </c>
      <c r="F528" s="515">
        <f>F719</f>
        <v>7</v>
      </c>
      <c r="G528" s="228"/>
      <c r="H528" s="229">
        <f>ROUND(SUM(H529:H530),2)</f>
        <v>0</v>
      </c>
      <c r="I528" s="229">
        <f>ROUND(SUM(I529:I530),2)</f>
        <v>15.15</v>
      </c>
      <c r="J528" s="231">
        <v>29.8</v>
      </c>
      <c r="K528" s="229">
        <v>544.17000000000007</v>
      </c>
      <c r="L528" s="230">
        <v>570.35000000000014</v>
      </c>
      <c r="M528" s="231">
        <v>1114.5200000000002</v>
      </c>
      <c r="N528" s="227">
        <v>275.28644000000003</v>
      </c>
      <c r="O528" s="227">
        <v>1389.8064400000003</v>
      </c>
    </row>
    <row r="529" spans="1:15" s="552" customFormat="1" ht="15" customHeight="1" x14ac:dyDescent="0.25">
      <c r="A529" s="543"/>
      <c r="B529" s="544"/>
      <c r="C529" s="513"/>
      <c r="D529" s="545" t="str">
        <f>D528</f>
        <v>Furo em concreto com broca de widia, utilizando martele elétrico Ø 1 1/2" profundidade 15 cm</v>
      </c>
      <c r="E529" s="514" t="s">
        <v>81</v>
      </c>
      <c r="F529" s="546">
        <v>1</v>
      </c>
      <c r="G529" s="547">
        <v>15.15</v>
      </c>
      <c r="H529" s="548"/>
      <c r="I529" s="547">
        <f>F529*G529</f>
        <v>15.15</v>
      </c>
      <c r="J529" s="549"/>
      <c r="K529" s="548"/>
      <c r="L529" s="547"/>
      <c r="M529" s="549"/>
      <c r="N529" s="550"/>
      <c r="O529" s="551"/>
    </row>
    <row r="530" spans="1:15" s="167" customFormat="1" ht="11.25" x14ac:dyDescent="0.2">
      <c r="A530" s="170"/>
      <c r="B530" s="129"/>
      <c r="C530" s="29"/>
      <c r="D530" s="117" t="s">
        <v>83</v>
      </c>
      <c r="E530" s="30"/>
      <c r="F530" s="476"/>
      <c r="G530" s="477"/>
      <c r="H530" s="478"/>
      <c r="I530" s="479"/>
      <c r="J530" s="480"/>
      <c r="K530" s="478"/>
      <c r="L530" s="479"/>
      <c r="M530" s="480"/>
      <c r="N530" s="93"/>
      <c r="O530" s="206"/>
    </row>
    <row r="531" spans="1:15" s="167" customFormat="1" ht="11.25" x14ac:dyDescent="0.2">
      <c r="A531" s="170"/>
      <c r="B531" s="129"/>
      <c r="C531" s="29"/>
      <c r="D531" s="117" t="s">
        <v>83</v>
      </c>
      <c r="E531" s="30"/>
      <c r="F531" s="118"/>
      <c r="G531" s="31"/>
      <c r="H531" s="104"/>
      <c r="I531" s="27"/>
      <c r="J531" s="105"/>
      <c r="K531" s="104"/>
      <c r="L531" s="27"/>
      <c r="M531" s="105"/>
      <c r="N531" s="92"/>
      <c r="O531" s="169"/>
    </row>
    <row r="532" spans="1:15" s="266" customFormat="1" ht="12.75" x14ac:dyDescent="0.2">
      <c r="A532" s="516"/>
      <c r="B532" s="517"/>
      <c r="C532" s="518" t="s">
        <v>187</v>
      </c>
      <c r="D532" s="519" t="s">
        <v>100</v>
      </c>
      <c r="E532" s="520"/>
      <c r="F532" s="519"/>
      <c r="G532" s="520"/>
      <c r="H532" s="521"/>
      <c r="I532" s="522"/>
      <c r="J532" s="523"/>
      <c r="K532" s="521"/>
      <c r="L532" s="522"/>
      <c r="M532" s="523"/>
      <c r="N532" s="524"/>
      <c r="O532" s="525">
        <f>SUM(O534:O566)</f>
        <v>10099.731925799999</v>
      </c>
    </row>
    <row r="533" spans="1:15" s="23" customFormat="1" ht="14.25" x14ac:dyDescent="0.2">
      <c r="A533" s="134"/>
      <c r="B533" s="129"/>
      <c r="C533" s="29"/>
      <c r="D533" s="117" t="s">
        <v>83</v>
      </c>
      <c r="E533" s="30"/>
      <c r="F533" s="118"/>
      <c r="G533" s="31"/>
      <c r="H533" s="104"/>
      <c r="I533" s="27"/>
      <c r="J533" s="105"/>
      <c r="K533" s="104"/>
      <c r="L533" s="27"/>
      <c r="M533" s="105"/>
      <c r="N533" s="92"/>
      <c r="O533" s="92"/>
    </row>
    <row r="534" spans="1:15" s="23" customFormat="1" ht="14.25" x14ac:dyDescent="0.2">
      <c r="A534" s="135"/>
      <c r="B534" s="120"/>
      <c r="C534" s="122"/>
      <c r="D534" s="124" t="s">
        <v>172</v>
      </c>
      <c r="E534" s="122"/>
      <c r="F534" s="90"/>
      <c r="G534" s="116"/>
      <c r="H534" s="102"/>
      <c r="I534" s="35"/>
      <c r="J534" s="103"/>
      <c r="K534" s="102"/>
      <c r="L534" s="35"/>
      <c r="M534" s="103"/>
      <c r="N534" s="90"/>
      <c r="O534" s="90"/>
    </row>
    <row r="535" spans="1:15" s="23" customFormat="1" ht="14.25" x14ac:dyDescent="0.2">
      <c r="A535" s="134"/>
      <c r="B535" s="129"/>
      <c r="C535" s="29"/>
      <c r="D535" s="117" t="s">
        <v>83</v>
      </c>
      <c r="E535" s="30"/>
      <c r="F535" s="118"/>
      <c r="G535" s="31"/>
      <c r="H535" s="104"/>
      <c r="I535" s="27"/>
      <c r="J535" s="105"/>
      <c r="K535" s="104"/>
      <c r="L535" s="27"/>
      <c r="M535" s="105"/>
      <c r="N535" s="92"/>
      <c r="O535" s="92"/>
    </row>
    <row r="536" spans="1:15" s="23" customFormat="1" ht="33.75" x14ac:dyDescent="0.2">
      <c r="A536" s="223" t="s">
        <v>78</v>
      </c>
      <c r="B536" s="224">
        <v>84215</v>
      </c>
      <c r="C536" s="225" t="s">
        <v>363</v>
      </c>
      <c r="D536" s="226" t="s">
        <v>1067</v>
      </c>
      <c r="E536" s="225" t="s">
        <v>94</v>
      </c>
      <c r="F536" s="515">
        <f>'MEMÓRIA DE CÁLCULO'!K133</f>
        <v>4.2900000000000009</v>
      </c>
      <c r="G536" s="228"/>
      <c r="H536" s="229">
        <f>ROUND(SUM(H537:H544),2)</f>
        <v>13.68</v>
      </c>
      <c r="I536" s="229">
        <f>ROUND(SUM(I537:I544),2)</f>
        <v>13.61</v>
      </c>
      <c r="J536" s="231">
        <f>(H536+I536)</f>
        <v>27.29</v>
      </c>
      <c r="K536" s="229">
        <f>F536*H536</f>
        <v>58.687200000000011</v>
      </c>
      <c r="L536" s="230">
        <f>F536*I536</f>
        <v>58.386900000000011</v>
      </c>
      <c r="M536" s="231">
        <f>K536+L536</f>
        <v>117.07410000000002</v>
      </c>
      <c r="N536" s="227">
        <f>M536*$N$7</f>
        <v>31.703666280000004</v>
      </c>
      <c r="O536" s="227">
        <f>M536+N536</f>
        <v>148.77776628000001</v>
      </c>
    </row>
    <row r="537" spans="1:15" s="552" customFormat="1" ht="15" customHeight="1" x14ac:dyDescent="0.25">
      <c r="A537" s="543"/>
      <c r="B537" s="544" t="s">
        <v>658</v>
      </c>
      <c r="C537" s="513">
        <v>6117</v>
      </c>
      <c r="D537" s="545" t="s">
        <v>682</v>
      </c>
      <c r="E537" s="514" t="s">
        <v>42</v>
      </c>
      <c r="F537" s="546">
        <v>0.23</v>
      </c>
      <c r="G537" s="547">
        <v>9.4499999999999993</v>
      </c>
      <c r="H537" s="548"/>
      <c r="I537" s="547">
        <f>F537*G537</f>
        <v>2.1734999999999998</v>
      </c>
      <c r="J537" s="549"/>
      <c r="K537" s="548"/>
      <c r="L537" s="547"/>
      <c r="M537" s="549"/>
      <c r="N537" s="550"/>
      <c r="O537" s="551"/>
    </row>
    <row r="538" spans="1:15" s="552" customFormat="1" ht="15" customHeight="1" x14ac:dyDescent="0.25">
      <c r="A538" s="543"/>
      <c r="B538" s="544" t="s">
        <v>658</v>
      </c>
      <c r="C538" s="513">
        <v>1213</v>
      </c>
      <c r="D538" s="545" t="s">
        <v>676</v>
      </c>
      <c r="E538" s="514" t="s">
        <v>42</v>
      </c>
      <c r="F538" s="546">
        <v>0.91</v>
      </c>
      <c r="G538" s="547">
        <v>12.57</v>
      </c>
      <c r="H538" s="548"/>
      <c r="I538" s="547">
        <f>F538*G538</f>
        <v>11.438700000000001</v>
      </c>
      <c r="J538" s="549"/>
      <c r="K538" s="548"/>
      <c r="L538" s="547"/>
      <c r="M538" s="549"/>
      <c r="N538" s="550"/>
      <c r="O538" s="551"/>
    </row>
    <row r="539" spans="1:15" s="552" customFormat="1" ht="15" customHeight="1" x14ac:dyDescent="0.25">
      <c r="A539" s="543"/>
      <c r="B539" s="544" t="s">
        <v>658</v>
      </c>
      <c r="C539" s="513">
        <v>1357</v>
      </c>
      <c r="D539" s="545" t="s">
        <v>683</v>
      </c>
      <c r="E539" s="514" t="s">
        <v>684</v>
      </c>
      <c r="F539" s="546">
        <v>0.17419999999999999</v>
      </c>
      <c r="G539" s="547">
        <v>28.54</v>
      </c>
      <c r="H539" s="548">
        <f t="shared" ref="H539:H540" si="63">F539*G539</f>
        <v>4.9716679999999993</v>
      </c>
      <c r="I539" s="547"/>
      <c r="J539" s="549"/>
      <c r="K539" s="548"/>
      <c r="L539" s="547"/>
      <c r="M539" s="549"/>
      <c r="N539" s="550"/>
      <c r="O539" s="551"/>
    </row>
    <row r="540" spans="1:15" s="552" customFormat="1" ht="15" customHeight="1" x14ac:dyDescent="0.25">
      <c r="A540" s="543"/>
      <c r="B540" s="544" t="s">
        <v>658</v>
      </c>
      <c r="C540" s="513">
        <v>2692</v>
      </c>
      <c r="D540" s="545" t="s">
        <v>685</v>
      </c>
      <c r="E540" s="514" t="s">
        <v>686</v>
      </c>
      <c r="F540" s="546">
        <v>6.0000000000000001E-3</v>
      </c>
      <c r="G540" s="547">
        <v>9.82</v>
      </c>
      <c r="H540" s="548">
        <f t="shared" si="63"/>
        <v>5.892E-2</v>
      </c>
      <c r="I540" s="547"/>
      <c r="J540" s="549"/>
      <c r="K540" s="548"/>
      <c r="L540" s="547"/>
      <c r="M540" s="549"/>
      <c r="N540" s="550"/>
      <c r="O540" s="551"/>
    </row>
    <row r="541" spans="1:15" s="552" customFormat="1" ht="15" customHeight="1" x14ac:dyDescent="0.25">
      <c r="A541" s="543"/>
      <c r="B541" s="544" t="s">
        <v>658</v>
      </c>
      <c r="C541" s="513">
        <v>4491</v>
      </c>
      <c r="D541" s="545" t="s">
        <v>659</v>
      </c>
      <c r="E541" s="514" t="s">
        <v>98</v>
      </c>
      <c r="F541" s="546">
        <v>1.04</v>
      </c>
      <c r="G541" s="547">
        <v>3.25</v>
      </c>
      <c r="H541" s="548">
        <f>F541*G541</f>
        <v>3.38</v>
      </c>
      <c r="I541" s="547"/>
      <c r="J541" s="549"/>
      <c r="K541" s="548"/>
      <c r="L541" s="547"/>
      <c r="M541" s="549"/>
      <c r="N541" s="550"/>
      <c r="O541" s="551"/>
    </row>
    <row r="542" spans="1:15" s="552" customFormat="1" ht="15" customHeight="1" x14ac:dyDescent="0.25">
      <c r="A542" s="543"/>
      <c r="B542" s="544" t="s">
        <v>657</v>
      </c>
      <c r="C542" s="513">
        <v>4506</v>
      </c>
      <c r="D542" s="545" t="s">
        <v>687</v>
      </c>
      <c r="E542" s="514" t="s">
        <v>98</v>
      </c>
      <c r="F542" s="546">
        <v>0.55000000000000004</v>
      </c>
      <c r="G542" s="547">
        <v>2.0099999999999998</v>
      </c>
      <c r="H542" s="548">
        <f>F542*G542</f>
        <v>1.1054999999999999</v>
      </c>
      <c r="I542" s="547"/>
      <c r="J542" s="549"/>
      <c r="K542" s="548"/>
      <c r="L542" s="547"/>
      <c r="M542" s="549"/>
      <c r="N542" s="550"/>
      <c r="O542" s="551"/>
    </row>
    <row r="543" spans="1:15" s="552" customFormat="1" ht="15" customHeight="1" x14ac:dyDescent="0.25">
      <c r="A543" s="543"/>
      <c r="B543" s="544" t="s">
        <v>658</v>
      </c>
      <c r="C543" s="513">
        <v>5068</v>
      </c>
      <c r="D543" s="545" t="s">
        <v>688</v>
      </c>
      <c r="E543" s="514" t="s">
        <v>97</v>
      </c>
      <c r="F543" s="546">
        <v>0.27</v>
      </c>
      <c r="G543" s="547">
        <v>6.99</v>
      </c>
      <c r="H543" s="548">
        <f>F543*G543</f>
        <v>1.8873000000000002</v>
      </c>
      <c r="I543" s="547"/>
      <c r="J543" s="549"/>
      <c r="K543" s="548"/>
      <c r="L543" s="547"/>
      <c r="M543" s="549"/>
      <c r="N543" s="550"/>
      <c r="O543" s="551"/>
    </row>
    <row r="544" spans="1:15" s="552" customFormat="1" ht="15" customHeight="1" x14ac:dyDescent="0.25">
      <c r="A544" s="543"/>
      <c r="B544" s="544" t="s">
        <v>658</v>
      </c>
      <c r="C544" s="513">
        <v>6189</v>
      </c>
      <c r="D544" s="545" t="s">
        <v>689</v>
      </c>
      <c r="E544" s="514" t="s">
        <v>98</v>
      </c>
      <c r="F544" s="546">
        <v>0.31</v>
      </c>
      <c r="G544" s="547">
        <v>7.33</v>
      </c>
      <c r="H544" s="548">
        <f>F544*G544</f>
        <v>2.2723</v>
      </c>
      <c r="I544" s="547"/>
      <c r="J544" s="549"/>
      <c r="K544" s="548"/>
      <c r="L544" s="547"/>
      <c r="M544" s="549"/>
      <c r="N544" s="550"/>
      <c r="O544" s="551"/>
    </row>
    <row r="545" spans="1:15" s="23" customFormat="1" ht="14.25" x14ac:dyDescent="0.2">
      <c r="A545" s="134"/>
      <c r="B545" s="129"/>
      <c r="C545" s="29"/>
      <c r="D545" s="117" t="s">
        <v>83</v>
      </c>
      <c r="E545" s="30"/>
      <c r="F545" s="118"/>
      <c r="G545" s="192"/>
      <c r="H545" s="104"/>
      <c r="I545" s="27"/>
      <c r="J545" s="105"/>
      <c r="K545" s="104"/>
      <c r="L545" s="27"/>
      <c r="M545" s="105"/>
      <c r="N545" s="92"/>
      <c r="O545" s="92"/>
    </row>
    <row r="546" spans="1:15" s="23" customFormat="1" ht="14.25" x14ac:dyDescent="0.2">
      <c r="A546" s="223" t="s">
        <v>78</v>
      </c>
      <c r="B546" s="224" t="s">
        <v>22</v>
      </c>
      <c r="C546" s="225" t="s">
        <v>364</v>
      </c>
      <c r="D546" s="226" t="s">
        <v>1068</v>
      </c>
      <c r="E546" s="225" t="s">
        <v>95</v>
      </c>
      <c r="F546" s="515">
        <f>'MEMÓRIA DE CÁLCULO'!J133</f>
        <v>0.2475</v>
      </c>
      <c r="G546" s="228"/>
      <c r="H546" s="229">
        <f>ROUND(SUM(H547:H553),2)</f>
        <v>266.02</v>
      </c>
      <c r="I546" s="229">
        <f>ROUND(SUM(I547:I553),2)</f>
        <v>46.21</v>
      </c>
      <c r="J546" s="231">
        <f>(H546+I546)</f>
        <v>312.22999999999996</v>
      </c>
      <c r="K546" s="229">
        <f>F546*H546</f>
        <v>65.839950000000002</v>
      </c>
      <c r="L546" s="230">
        <f>F546*I546</f>
        <v>11.436975</v>
      </c>
      <c r="M546" s="231">
        <f>K546+L546</f>
        <v>77.276925000000006</v>
      </c>
      <c r="N546" s="227">
        <f>M546*$N$7</f>
        <v>20.926591290000001</v>
      </c>
      <c r="O546" s="227">
        <f>M546+N546</f>
        <v>98.20351629000001</v>
      </c>
    </row>
    <row r="547" spans="1:15" s="552" customFormat="1" ht="15" customHeight="1" x14ac:dyDescent="0.25">
      <c r="A547" s="543"/>
      <c r="B547" s="544" t="s">
        <v>664</v>
      </c>
      <c r="C547" s="513">
        <v>88291</v>
      </c>
      <c r="D547" s="545" t="s">
        <v>691</v>
      </c>
      <c r="E547" s="514" t="s">
        <v>42</v>
      </c>
      <c r="F547" s="546">
        <v>1.8335999999999999</v>
      </c>
      <c r="G547" s="547">
        <v>9.4499999999999993</v>
      </c>
      <c r="H547" s="548"/>
      <c r="I547" s="547">
        <f>F547*G547</f>
        <v>17.327519999999996</v>
      </c>
      <c r="J547" s="549"/>
      <c r="K547" s="548"/>
      <c r="L547" s="547"/>
      <c r="M547" s="549"/>
      <c r="N547" s="550"/>
      <c r="O547" s="551"/>
    </row>
    <row r="548" spans="1:15" s="552" customFormat="1" ht="15" customHeight="1" x14ac:dyDescent="0.25">
      <c r="A548" s="543"/>
      <c r="B548" s="544" t="s">
        <v>658</v>
      </c>
      <c r="C548" s="513">
        <v>6111</v>
      </c>
      <c r="D548" s="545" t="s">
        <v>670</v>
      </c>
      <c r="E548" s="514" t="s">
        <v>42</v>
      </c>
      <c r="F548" s="546">
        <v>3.2378</v>
      </c>
      <c r="G548" s="547">
        <v>8.92</v>
      </c>
      <c r="H548" s="548"/>
      <c r="I548" s="547">
        <f>F548*G548</f>
        <v>28.881176</v>
      </c>
      <c r="J548" s="549"/>
      <c r="K548" s="548"/>
      <c r="L548" s="547"/>
      <c r="M548" s="549"/>
      <c r="N548" s="550"/>
      <c r="O548" s="551"/>
    </row>
    <row r="549" spans="1:15" s="552" customFormat="1" ht="15" customHeight="1" x14ac:dyDescent="0.25">
      <c r="A549" s="543"/>
      <c r="B549" s="544" t="s">
        <v>657</v>
      </c>
      <c r="C549" s="513">
        <v>370</v>
      </c>
      <c r="D549" s="545" t="s">
        <v>692</v>
      </c>
      <c r="E549" s="514" t="s">
        <v>95</v>
      </c>
      <c r="F549" s="546">
        <v>0.8669</v>
      </c>
      <c r="G549" s="547">
        <v>56.58</v>
      </c>
      <c r="H549" s="548">
        <f t="shared" ref="H549:H550" si="64">F549*G549</f>
        <v>49.049202000000001</v>
      </c>
      <c r="I549" s="547"/>
      <c r="J549" s="549"/>
      <c r="K549" s="548"/>
      <c r="L549" s="547"/>
      <c r="M549" s="549"/>
      <c r="N549" s="550"/>
      <c r="O549" s="551"/>
    </row>
    <row r="550" spans="1:15" s="552" customFormat="1" ht="15" customHeight="1" x14ac:dyDescent="0.25">
      <c r="A550" s="543"/>
      <c r="B550" s="544" t="s">
        <v>658</v>
      </c>
      <c r="C550" s="513">
        <v>1379</v>
      </c>
      <c r="D550" s="545" t="s">
        <v>693</v>
      </c>
      <c r="E550" s="514" t="s">
        <v>694</v>
      </c>
      <c r="F550" s="546">
        <v>349</v>
      </c>
      <c r="G550" s="547">
        <v>0.5</v>
      </c>
      <c r="H550" s="548">
        <f t="shared" si="64"/>
        <v>174.5</v>
      </c>
      <c r="I550" s="547"/>
      <c r="J550" s="549"/>
      <c r="K550" s="548"/>
      <c r="L550" s="547"/>
      <c r="M550" s="549"/>
      <c r="N550" s="550"/>
      <c r="O550" s="551"/>
    </row>
    <row r="551" spans="1:15" s="552" customFormat="1" ht="15" customHeight="1" x14ac:dyDescent="0.25">
      <c r="A551" s="543"/>
      <c r="B551" s="544" t="s">
        <v>657</v>
      </c>
      <c r="C551" s="513">
        <v>4718</v>
      </c>
      <c r="D551" s="545" t="s">
        <v>695</v>
      </c>
      <c r="E551" s="514" t="s">
        <v>696</v>
      </c>
      <c r="F551" s="546">
        <v>0.20899999999999999</v>
      </c>
      <c r="G551" s="547">
        <v>42.13</v>
      </c>
      <c r="H551" s="548">
        <f>F551*G551</f>
        <v>8.8051700000000004</v>
      </c>
      <c r="I551" s="547"/>
      <c r="J551" s="549"/>
      <c r="K551" s="548"/>
      <c r="L551" s="547"/>
      <c r="M551" s="549"/>
      <c r="N551" s="550"/>
      <c r="O551" s="551"/>
    </row>
    <row r="552" spans="1:15" s="552" customFormat="1" ht="15" customHeight="1" x14ac:dyDescent="0.25">
      <c r="A552" s="543"/>
      <c r="B552" s="544" t="s">
        <v>658</v>
      </c>
      <c r="C552" s="513">
        <v>4721</v>
      </c>
      <c r="D552" s="545" t="s">
        <v>697</v>
      </c>
      <c r="E552" s="514" t="s">
        <v>95</v>
      </c>
      <c r="F552" s="546">
        <v>0.627</v>
      </c>
      <c r="G552" s="547">
        <v>46.94</v>
      </c>
      <c r="H552" s="548">
        <f>F552*G552</f>
        <v>29.431379999999997</v>
      </c>
      <c r="I552" s="547"/>
      <c r="J552" s="549"/>
      <c r="K552" s="548"/>
      <c r="L552" s="547"/>
      <c r="M552" s="549"/>
      <c r="N552" s="550"/>
      <c r="O552" s="551"/>
    </row>
    <row r="553" spans="1:15" s="552" customFormat="1" ht="15" customHeight="1" x14ac:dyDescent="0.25">
      <c r="A553" s="543"/>
      <c r="B553" s="544" t="s">
        <v>657</v>
      </c>
      <c r="C553" s="513">
        <v>10533</v>
      </c>
      <c r="D553" s="545" t="s">
        <v>698</v>
      </c>
      <c r="E553" s="514" t="s">
        <v>667</v>
      </c>
      <c r="F553" s="546">
        <v>1.8335999999999999</v>
      </c>
      <c r="G553" s="547">
        <v>2.31</v>
      </c>
      <c r="H553" s="548">
        <f>F553*G553</f>
        <v>4.2356160000000003</v>
      </c>
      <c r="I553" s="547"/>
      <c r="J553" s="549"/>
      <c r="K553" s="548"/>
      <c r="L553" s="547"/>
      <c r="M553" s="549"/>
      <c r="N553" s="550"/>
      <c r="O553" s="551"/>
    </row>
    <row r="554" spans="1:15" s="23" customFormat="1" ht="14.25" x14ac:dyDescent="0.2">
      <c r="A554" s="134"/>
      <c r="B554" s="129"/>
      <c r="C554" s="29"/>
      <c r="D554" s="117" t="s">
        <v>83</v>
      </c>
      <c r="E554" s="30"/>
      <c r="F554" s="118"/>
      <c r="G554" s="31"/>
      <c r="H554" s="104"/>
      <c r="I554" s="27"/>
      <c r="J554" s="105"/>
      <c r="K554" s="104"/>
      <c r="L554" s="27"/>
      <c r="M554" s="105"/>
      <c r="N554" s="92"/>
      <c r="O554" s="92"/>
    </row>
    <row r="555" spans="1:15" s="23" customFormat="1" ht="14.25" x14ac:dyDescent="0.2">
      <c r="A555" s="223" t="s">
        <v>78</v>
      </c>
      <c r="B555" s="224" t="s">
        <v>699</v>
      </c>
      <c r="C555" s="225" t="s">
        <v>365</v>
      </c>
      <c r="D555" s="226" t="s">
        <v>770</v>
      </c>
      <c r="E555" s="225" t="s">
        <v>95</v>
      </c>
      <c r="F555" s="515">
        <f>F546</f>
        <v>0.2475</v>
      </c>
      <c r="G555" s="228"/>
      <c r="H555" s="229">
        <f>ROUND(SUM(H556:H558),2)</f>
        <v>0.33</v>
      </c>
      <c r="I555" s="229">
        <f>ROUND(SUM(I556:I558),2)</f>
        <v>60.88</v>
      </c>
      <c r="J555" s="231">
        <f>(H555+I555)</f>
        <v>61.21</v>
      </c>
      <c r="K555" s="229">
        <f>F555*H555</f>
        <v>8.1674999999999998E-2</v>
      </c>
      <c r="L555" s="230">
        <f>F555*I555</f>
        <v>15.0678</v>
      </c>
      <c r="M555" s="231">
        <f>K555+L555</f>
        <v>15.149475000000001</v>
      </c>
      <c r="N555" s="227">
        <f>M555*$N$7</f>
        <v>4.1024778299999998</v>
      </c>
      <c r="O555" s="227">
        <f>M555+N555</f>
        <v>19.25195283</v>
      </c>
    </row>
    <row r="556" spans="1:15" s="552" customFormat="1" ht="15" customHeight="1" x14ac:dyDescent="0.25">
      <c r="A556" s="543"/>
      <c r="B556" s="544" t="s">
        <v>658</v>
      </c>
      <c r="C556" s="513">
        <v>4750</v>
      </c>
      <c r="D556" s="545" t="s">
        <v>679</v>
      </c>
      <c r="E556" s="514" t="s">
        <v>42</v>
      </c>
      <c r="F556" s="546">
        <v>1.65</v>
      </c>
      <c r="G556" s="547">
        <v>12.57</v>
      </c>
      <c r="H556" s="548"/>
      <c r="I556" s="547">
        <f>F556*G556</f>
        <v>20.740500000000001</v>
      </c>
      <c r="J556" s="549"/>
      <c r="K556" s="548"/>
      <c r="L556" s="547"/>
      <c r="M556" s="549"/>
      <c r="N556" s="550"/>
      <c r="O556" s="551"/>
    </row>
    <row r="557" spans="1:15" s="552" customFormat="1" ht="15" customHeight="1" x14ac:dyDescent="0.25">
      <c r="A557" s="543"/>
      <c r="B557" s="544" t="s">
        <v>658</v>
      </c>
      <c r="C557" s="513">
        <v>6111</v>
      </c>
      <c r="D557" s="545" t="s">
        <v>670</v>
      </c>
      <c r="E557" s="514" t="s">
        <v>42</v>
      </c>
      <c r="F557" s="546">
        <v>4.5</v>
      </c>
      <c r="G557" s="547">
        <v>8.92</v>
      </c>
      <c r="H557" s="548"/>
      <c r="I557" s="547">
        <f>F557*G557</f>
        <v>40.14</v>
      </c>
      <c r="J557" s="549"/>
      <c r="K557" s="548"/>
      <c r="L557" s="547"/>
      <c r="M557" s="549"/>
      <c r="N557" s="550"/>
      <c r="O557" s="551"/>
    </row>
    <row r="558" spans="1:15" s="552" customFormat="1" ht="15" customHeight="1" x14ac:dyDescent="0.25">
      <c r="A558" s="543"/>
      <c r="B558" s="544" t="s">
        <v>658</v>
      </c>
      <c r="C558" s="513">
        <v>10485</v>
      </c>
      <c r="D558" s="545" t="s">
        <v>700</v>
      </c>
      <c r="E558" s="514" t="s">
        <v>91</v>
      </c>
      <c r="F558" s="546">
        <v>0.3</v>
      </c>
      <c r="G558" s="547">
        <v>1.0900000000000001</v>
      </c>
      <c r="H558" s="548">
        <f t="shared" ref="H558" si="65">F558*G558</f>
        <v>0.32700000000000001</v>
      </c>
      <c r="I558" s="547"/>
      <c r="J558" s="549"/>
      <c r="K558" s="548"/>
      <c r="L558" s="547"/>
      <c r="M558" s="549"/>
      <c r="N558" s="550"/>
      <c r="O558" s="551"/>
    </row>
    <row r="559" spans="1:15" s="23" customFormat="1" ht="14.25" x14ac:dyDescent="0.2">
      <c r="A559" s="134"/>
      <c r="B559" s="129"/>
      <c r="C559" s="29"/>
      <c r="D559" s="117" t="s">
        <v>83</v>
      </c>
      <c r="E559" s="30"/>
      <c r="F559" s="118"/>
      <c r="G559" s="31"/>
      <c r="H559" s="104"/>
      <c r="I559" s="27"/>
      <c r="J559" s="105"/>
      <c r="K559" s="104"/>
      <c r="L559" s="27"/>
      <c r="M559" s="105"/>
      <c r="N559" s="92"/>
      <c r="O559" s="92"/>
    </row>
    <row r="560" spans="1:15" s="23" customFormat="1" ht="22.5" x14ac:dyDescent="0.2">
      <c r="A560" s="223" t="s">
        <v>78</v>
      </c>
      <c r="B560" s="224" t="s">
        <v>99</v>
      </c>
      <c r="C560" s="225" t="s">
        <v>793</v>
      </c>
      <c r="D560" s="226" t="s">
        <v>1069</v>
      </c>
      <c r="E560" s="225" t="s">
        <v>97</v>
      </c>
      <c r="F560" s="515">
        <f>F546*70</f>
        <v>17.324999999999999</v>
      </c>
      <c r="G560" s="228"/>
      <c r="H560" s="229">
        <f>ROUND(SUM(H561:H565),2)</f>
        <v>296.20999999999998</v>
      </c>
      <c r="I560" s="229">
        <f>ROUND(SUM(I561:I565),2)</f>
        <v>150.43</v>
      </c>
      <c r="J560" s="231">
        <f>(H560+I560)</f>
        <v>446.64</v>
      </c>
      <c r="K560" s="229">
        <f>F560*H560</f>
        <v>5131.8382499999998</v>
      </c>
      <c r="L560" s="230">
        <f>F560*I560</f>
        <v>2606.1997500000002</v>
      </c>
      <c r="M560" s="231">
        <f>K560+L560</f>
        <v>7738.0380000000005</v>
      </c>
      <c r="N560" s="227">
        <f>M560*$N$7</f>
        <v>2095.4606904000002</v>
      </c>
      <c r="O560" s="227">
        <f>M560+N560</f>
        <v>9833.4986903999998</v>
      </c>
    </row>
    <row r="561" spans="1:15" s="552" customFormat="1" ht="15" customHeight="1" x14ac:dyDescent="0.25">
      <c r="A561" s="543"/>
      <c r="B561" s="544" t="s">
        <v>658</v>
      </c>
      <c r="C561" s="513">
        <v>378</v>
      </c>
      <c r="D561" s="545" t="s">
        <v>702</v>
      </c>
      <c r="E561" s="514" t="s">
        <v>42</v>
      </c>
      <c r="F561" s="546">
        <v>7</v>
      </c>
      <c r="G561" s="547">
        <v>12.57</v>
      </c>
      <c r="H561" s="548"/>
      <c r="I561" s="547">
        <f>F561*G561</f>
        <v>87.990000000000009</v>
      </c>
      <c r="J561" s="549"/>
      <c r="K561" s="548"/>
      <c r="L561" s="547"/>
      <c r="M561" s="549"/>
      <c r="N561" s="550"/>
      <c r="O561" s="551"/>
    </row>
    <row r="562" spans="1:15" s="552" customFormat="1" ht="15" customHeight="1" x14ac:dyDescent="0.25">
      <c r="A562" s="543"/>
      <c r="B562" s="544" t="s">
        <v>658</v>
      </c>
      <c r="C562" s="513">
        <v>6111</v>
      </c>
      <c r="D562" s="545" t="s">
        <v>670</v>
      </c>
      <c r="E562" s="514" t="s">
        <v>42</v>
      </c>
      <c r="F562" s="546">
        <v>7</v>
      </c>
      <c r="G562" s="547">
        <v>8.92</v>
      </c>
      <c r="H562" s="548"/>
      <c r="I562" s="547">
        <f>F562*G562</f>
        <v>62.44</v>
      </c>
      <c r="J562" s="549"/>
      <c r="K562" s="548"/>
      <c r="L562" s="547"/>
      <c r="M562" s="549"/>
      <c r="N562" s="550"/>
      <c r="O562" s="551"/>
    </row>
    <row r="563" spans="1:15" s="552" customFormat="1" ht="15" customHeight="1" x14ac:dyDescent="0.25">
      <c r="A563" s="543"/>
      <c r="B563" s="544" t="s">
        <v>657</v>
      </c>
      <c r="C563" s="513">
        <v>27</v>
      </c>
      <c r="D563" s="545" t="s">
        <v>703</v>
      </c>
      <c r="E563" s="514" t="s">
        <v>97</v>
      </c>
      <c r="F563" s="546">
        <v>55</v>
      </c>
      <c r="G563" s="547">
        <v>3.38</v>
      </c>
      <c r="H563" s="548">
        <f t="shared" ref="H563:H565" si="66">F563*G563</f>
        <v>185.9</v>
      </c>
      <c r="I563" s="547"/>
      <c r="J563" s="549"/>
      <c r="K563" s="548"/>
      <c r="L563" s="547"/>
      <c r="M563" s="549"/>
      <c r="N563" s="550"/>
      <c r="O563" s="551"/>
    </row>
    <row r="564" spans="1:15" s="552" customFormat="1" ht="15" customHeight="1" x14ac:dyDescent="0.25">
      <c r="A564" s="543"/>
      <c r="B564" s="544" t="s">
        <v>658</v>
      </c>
      <c r="C564" s="513">
        <v>33</v>
      </c>
      <c r="D564" s="545" t="s">
        <v>704</v>
      </c>
      <c r="E564" s="514" t="s">
        <v>97</v>
      </c>
      <c r="F564" s="546">
        <v>22</v>
      </c>
      <c r="G564" s="547">
        <v>4.18</v>
      </c>
      <c r="H564" s="548">
        <f t="shared" si="66"/>
        <v>91.96</v>
      </c>
      <c r="I564" s="547"/>
      <c r="J564" s="549"/>
      <c r="K564" s="548"/>
      <c r="L564" s="547"/>
      <c r="M564" s="549"/>
      <c r="N564" s="550"/>
      <c r="O564" s="551"/>
    </row>
    <row r="565" spans="1:15" s="552" customFormat="1" ht="15" customHeight="1" x14ac:dyDescent="0.25">
      <c r="A565" s="543"/>
      <c r="B565" s="544" t="s">
        <v>657</v>
      </c>
      <c r="C565" s="513">
        <v>337</v>
      </c>
      <c r="D565" s="545" t="s">
        <v>705</v>
      </c>
      <c r="E565" s="514" t="s">
        <v>97</v>
      </c>
      <c r="F565" s="546">
        <v>2.5</v>
      </c>
      <c r="G565" s="547">
        <v>7.34</v>
      </c>
      <c r="H565" s="548">
        <f t="shared" si="66"/>
        <v>18.350000000000001</v>
      </c>
      <c r="I565" s="547"/>
      <c r="J565" s="549"/>
      <c r="K565" s="548"/>
      <c r="L565" s="547"/>
      <c r="M565" s="549"/>
      <c r="N565" s="550"/>
      <c r="O565" s="551"/>
    </row>
    <row r="566" spans="1:15" s="23" customFormat="1" ht="14.25" x14ac:dyDescent="0.2">
      <c r="A566" s="134"/>
      <c r="B566" s="129"/>
      <c r="C566" s="29"/>
      <c r="D566" s="117" t="s">
        <v>83</v>
      </c>
      <c r="E566" s="30"/>
      <c r="F566" s="118"/>
      <c r="G566" s="31"/>
      <c r="H566" s="104"/>
      <c r="I566" s="27"/>
      <c r="J566" s="105"/>
      <c r="K566" s="104"/>
      <c r="L566" s="27"/>
      <c r="M566" s="105"/>
      <c r="N566" s="92"/>
      <c r="O566" s="92"/>
    </row>
    <row r="567" spans="1:15" s="266" customFormat="1" ht="12.75" x14ac:dyDescent="0.2">
      <c r="A567" s="516"/>
      <c r="B567" s="517"/>
      <c r="C567" s="518" t="s">
        <v>188</v>
      </c>
      <c r="D567" s="519" t="s">
        <v>101</v>
      </c>
      <c r="E567" s="520"/>
      <c r="F567" s="519"/>
      <c r="G567" s="520"/>
      <c r="H567" s="521"/>
      <c r="I567" s="522"/>
      <c r="J567" s="523"/>
      <c r="K567" s="521"/>
      <c r="L567" s="522"/>
      <c r="M567" s="523"/>
      <c r="N567" s="524"/>
      <c r="O567" s="525">
        <f>SUM(O569:O578)</f>
        <v>16279.246002599999</v>
      </c>
    </row>
    <row r="568" spans="1:15" s="23" customFormat="1" ht="14.25" x14ac:dyDescent="0.2">
      <c r="A568" s="134"/>
      <c r="B568" s="130"/>
      <c r="C568" s="34"/>
      <c r="D568" s="117" t="s">
        <v>83</v>
      </c>
      <c r="E568" s="30"/>
      <c r="F568" s="118"/>
      <c r="G568" s="31"/>
      <c r="H568" s="104"/>
      <c r="I568" s="27"/>
      <c r="J568" s="105"/>
      <c r="K568" s="104"/>
      <c r="L568" s="27"/>
      <c r="M568" s="105"/>
      <c r="N568" s="92"/>
      <c r="O568" s="92"/>
    </row>
    <row r="569" spans="1:15" s="23" customFormat="1" ht="14.25" x14ac:dyDescent="0.2">
      <c r="A569" s="135"/>
      <c r="B569" s="120"/>
      <c r="C569" s="122"/>
      <c r="D569" s="124" t="s">
        <v>102</v>
      </c>
      <c r="E569" s="122"/>
      <c r="F569" s="90"/>
      <c r="G569" s="116"/>
      <c r="H569" s="102"/>
      <c r="I569" s="35"/>
      <c r="J569" s="103"/>
      <c r="K569" s="102"/>
      <c r="L569" s="35"/>
      <c r="M569" s="103"/>
      <c r="N569" s="90"/>
      <c r="O569" s="90"/>
    </row>
    <row r="570" spans="1:15" s="23" customFormat="1" ht="14.25" x14ac:dyDescent="0.2">
      <c r="A570" s="134"/>
      <c r="B570" s="130"/>
      <c r="C570" s="34"/>
      <c r="D570" s="117" t="s">
        <v>83</v>
      </c>
      <c r="E570" s="30"/>
      <c r="F570" s="118"/>
      <c r="G570" s="31"/>
      <c r="H570" s="104"/>
      <c r="I570" s="27"/>
      <c r="J570" s="105"/>
      <c r="K570" s="104"/>
      <c r="L570" s="27"/>
      <c r="M570" s="105"/>
      <c r="N570" s="92"/>
      <c r="O570" s="92"/>
    </row>
    <row r="571" spans="1:15" s="23" customFormat="1" ht="22.5" x14ac:dyDescent="0.2">
      <c r="A571" s="223" t="s">
        <v>79</v>
      </c>
      <c r="B571" s="224" t="s">
        <v>750</v>
      </c>
      <c r="C571" s="225" t="s">
        <v>366</v>
      </c>
      <c r="D571" s="226" t="s">
        <v>1070</v>
      </c>
      <c r="E571" s="225" t="s">
        <v>94</v>
      </c>
      <c r="F571" s="515">
        <f>'MEMÓRIA DE CÁLCULO'!F118</f>
        <v>31.324999999999996</v>
      </c>
      <c r="G571" s="228"/>
      <c r="H571" s="229">
        <f>H572</f>
        <v>77.599999999999994</v>
      </c>
      <c r="I571" s="230">
        <v>0</v>
      </c>
      <c r="J571" s="231">
        <f>(H571+I571)</f>
        <v>77.599999999999994</v>
      </c>
      <c r="K571" s="229">
        <f>F571*H571</f>
        <v>2430.8199999999997</v>
      </c>
      <c r="L571" s="230">
        <f>F571*I571</f>
        <v>0</v>
      </c>
      <c r="M571" s="231">
        <f>K571+L571</f>
        <v>2430.8199999999997</v>
      </c>
      <c r="N571" s="227">
        <f>M571*$N$7</f>
        <v>658.26605599999994</v>
      </c>
      <c r="O571" s="227">
        <f>M571+N571</f>
        <v>3089.0860559999996</v>
      </c>
    </row>
    <row r="572" spans="1:15" s="552" customFormat="1" ht="29.25" customHeight="1" x14ac:dyDescent="0.25">
      <c r="A572" s="543"/>
      <c r="B572" s="544"/>
      <c r="C572" s="513"/>
      <c r="D572" s="545" t="str">
        <f>D571</f>
        <v>Parede de gesso acartonado simples interna, espessura final 100 mm, pé-direito conforme projeto arquitetônico - instalado conforme recomendações do fabricante</v>
      </c>
      <c r="E572" s="514" t="s">
        <v>94</v>
      </c>
      <c r="F572" s="546">
        <v>1</v>
      </c>
      <c r="G572" s="547">
        <v>77.599999999999994</v>
      </c>
      <c r="H572" s="548">
        <f>F572*G572</f>
        <v>77.599999999999994</v>
      </c>
      <c r="I572" s="547"/>
      <c r="J572" s="549"/>
      <c r="K572" s="548"/>
      <c r="L572" s="547"/>
      <c r="M572" s="549"/>
      <c r="N572" s="550"/>
      <c r="O572" s="551"/>
    </row>
    <row r="573" spans="1:15" s="23" customFormat="1" ht="14.25" x14ac:dyDescent="0.2">
      <c r="A573" s="134"/>
      <c r="B573" s="129"/>
      <c r="C573" s="29"/>
      <c r="D573" s="117" t="s">
        <v>83</v>
      </c>
      <c r="E573" s="30"/>
      <c r="F573" s="118"/>
      <c r="G573" s="31"/>
      <c r="H573" s="104"/>
      <c r="I573" s="27"/>
      <c r="J573" s="105"/>
      <c r="K573" s="104"/>
      <c r="L573" s="27"/>
      <c r="M573" s="105"/>
      <c r="N573" s="91"/>
      <c r="O573" s="91"/>
    </row>
    <row r="574" spans="1:15" s="23" customFormat="1" ht="33.75" x14ac:dyDescent="0.2">
      <c r="A574" s="223" t="s">
        <v>79</v>
      </c>
      <c r="B574" s="224" t="s">
        <v>751</v>
      </c>
      <c r="C574" s="225" t="s">
        <v>367</v>
      </c>
      <c r="D574" s="226" t="s">
        <v>1071</v>
      </c>
      <c r="E574" s="225" t="s">
        <v>94</v>
      </c>
      <c r="F574" s="515">
        <f>'MEMÓRIA DE CÁLCULO'!F121</f>
        <v>14.35</v>
      </c>
      <c r="G574" s="228"/>
      <c r="H574" s="229">
        <f>H575</f>
        <v>83.47</v>
      </c>
      <c r="I574" s="230">
        <v>0</v>
      </c>
      <c r="J574" s="231">
        <f>(H574+I574)</f>
        <v>83.47</v>
      </c>
      <c r="K574" s="229">
        <f>F574*H574</f>
        <v>1197.7945</v>
      </c>
      <c r="L574" s="230">
        <f>F574*I574</f>
        <v>0</v>
      </c>
      <c r="M574" s="231">
        <f>K574+L574</f>
        <v>1197.7945</v>
      </c>
      <c r="N574" s="227">
        <f>M574*$N$7</f>
        <v>324.36275059999997</v>
      </c>
      <c r="O574" s="227">
        <f>M574+N574</f>
        <v>1522.1572506</v>
      </c>
    </row>
    <row r="575" spans="1:15" s="552" customFormat="1" ht="24.75" customHeight="1" x14ac:dyDescent="0.25">
      <c r="A575" s="543"/>
      <c r="B575" s="544"/>
      <c r="C575" s="513"/>
      <c r="D575" s="545" t="str">
        <f>D574</f>
        <v>Parede de gesso acartonado para parede interna em local úmido, VERDE,  espessura final 125 mm, pé-direito conforme projeto arquitetonico - instalado conforme orinetações do fabricante.</v>
      </c>
      <c r="E575" s="514" t="s">
        <v>94</v>
      </c>
      <c r="F575" s="546">
        <v>1</v>
      </c>
      <c r="G575" s="547">
        <v>83.47</v>
      </c>
      <c r="H575" s="548">
        <f>F575*G575</f>
        <v>83.47</v>
      </c>
      <c r="I575" s="547"/>
      <c r="J575" s="549"/>
      <c r="K575" s="548"/>
      <c r="L575" s="547"/>
      <c r="M575" s="549"/>
      <c r="N575" s="550"/>
      <c r="O575" s="551"/>
    </row>
    <row r="576" spans="1:15" s="23" customFormat="1" ht="14.25" x14ac:dyDescent="0.2">
      <c r="A576" s="134"/>
      <c r="B576" s="129"/>
      <c r="C576" s="29"/>
      <c r="D576" s="117" t="s">
        <v>83</v>
      </c>
      <c r="E576" s="30"/>
      <c r="F576" s="118"/>
      <c r="G576" s="31"/>
      <c r="H576" s="104"/>
      <c r="I576" s="27"/>
      <c r="J576" s="105"/>
      <c r="K576" s="104"/>
      <c r="L576" s="27"/>
      <c r="M576" s="105"/>
      <c r="N576" s="94"/>
      <c r="O576" s="94"/>
    </row>
    <row r="577" spans="1:15" s="23" customFormat="1" ht="90" x14ac:dyDescent="0.2">
      <c r="A577" s="223" t="s">
        <v>28</v>
      </c>
      <c r="B577" s="224"/>
      <c r="C577" s="225" t="s">
        <v>538</v>
      </c>
      <c r="D577" s="226" t="s">
        <v>759</v>
      </c>
      <c r="E577" s="225" t="s">
        <v>94</v>
      </c>
      <c r="F577" s="515">
        <v>24.29</v>
      </c>
      <c r="G577" s="228"/>
      <c r="H577" s="229">
        <v>333</v>
      </c>
      <c r="I577" s="230">
        <v>45</v>
      </c>
      <c r="J577" s="231">
        <f>(H577+I577)</f>
        <v>378</v>
      </c>
      <c r="K577" s="229">
        <f>F577*H577</f>
        <v>8088.57</v>
      </c>
      <c r="L577" s="230">
        <f>F577*I577</f>
        <v>1093.05</v>
      </c>
      <c r="M577" s="231">
        <f>K577+L577</f>
        <v>9181.619999999999</v>
      </c>
      <c r="N577" s="227">
        <f>M577*$N$7</f>
        <v>2486.3826959999997</v>
      </c>
      <c r="O577" s="227">
        <f>M577+N577</f>
        <v>11668.002696</v>
      </c>
    </row>
    <row r="578" spans="1:15" s="23" customFormat="1" ht="14.25" x14ac:dyDescent="0.2">
      <c r="A578" s="134"/>
      <c r="B578" s="129"/>
      <c r="C578" s="29"/>
      <c r="D578" s="117" t="s">
        <v>83</v>
      </c>
      <c r="E578" s="30"/>
      <c r="F578" s="118"/>
      <c r="G578" s="31"/>
      <c r="H578" s="104"/>
      <c r="I578" s="27"/>
      <c r="J578" s="105"/>
      <c r="K578" s="104"/>
      <c r="L578" s="27"/>
      <c r="M578" s="105"/>
      <c r="N578" s="91"/>
      <c r="O578" s="91"/>
    </row>
    <row r="579" spans="1:15" s="266" customFormat="1" ht="12.75" x14ac:dyDescent="0.2">
      <c r="A579" s="516"/>
      <c r="B579" s="517"/>
      <c r="C579" s="518" t="s">
        <v>368</v>
      </c>
      <c r="D579" s="519" t="s">
        <v>103</v>
      </c>
      <c r="E579" s="520"/>
      <c r="F579" s="519"/>
      <c r="G579" s="520"/>
      <c r="H579" s="521"/>
      <c r="I579" s="522"/>
      <c r="J579" s="523"/>
      <c r="K579" s="521"/>
      <c r="L579" s="522"/>
      <c r="M579" s="523"/>
      <c r="N579" s="524"/>
      <c r="O579" s="525">
        <f>SUM(O581:O635)</f>
        <v>3656.447424</v>
      </c>
    </row>
    <row r="580" spans="1:15" s="23" customFormat="1" ht="14.25" x14ac:dyDescent="0.2">
      <c r="A580" s="134"/>
      <c r="B580" s="129"/>
      <c r="C580" s="29"/>
      <c r="D580" s="117" t="s">
        <v>83</v>
      </c>
      <c r="E580" s="30"/>
      <c r="F580" s="118"/>
      <c r="G580" s="31"/>
      <c r="H580" s="104"/>
      <c r="I580" s="27"/>
      <c r="J580" s="105"/>
      <c r="K580" s="104"/>
      <c r="L580" s="27"/>
      <c r="M580" s="105"/>
      <c r="N580" s="92"/>
      <c r="O580" s="92"/>
    </row>
    <row r="581" spans="1:15" s="23" customFormat="1" ht="14.25" x14ac:dyDescent="0.2">
      <c r="A581" s="135"/>
      <c r="B581" s="120"/>
      <c r="C581" s="122"/>
      <c r="D581" s="124" t="s">
        <v>104</v>
      </c>
      <c r="E581" s="122"/>
      <c r="F581" s="90"/>
      <c r="G581" s="116"/>
      <c r="H581" s="102"/>
      <c r="I581" s="35"/>
      <c r="J581" s="103"/>
      <c r="K581" s="102"/>
      <c r="L581" s="35"/>
      <c r="M581" s="103"/>
      <c r="N581" s="90"/>
      <c r="O581" s="90"/>
    </row>
    <row r="582" spans="1:15" s="23" customFormat="1" ht="14.25" x14ac:dyDescent="0.2">
      <c r="A582" s="134"/>
      <c r="B582" s="129"/>
      <c r="C582" s="29"/>
      <c r="D582" s="117" t="s">
        <v>83</v>
      </c>
      <c r="E582" s="30"/>
      <c r="F582" s="118"/>
      <c r="G582" s="31"/>
      <c r="H582" s="104"/>
      <c r="I582" s="27"/>
      <c r="J582" s="105"/>
      <c r="K582" s="104"/>
      <c r="L582" s="27"/>
      <c r="M582" s="105"/>
      <c r="N582" s="92"/>
      <c r="O582" s="92"/>
    </row>
    <row r="583" spans="1:15" s="23" customFormat="1" ht="62.25" customHeight="1" x14ac:dyDescent="0.2">
      <c r="A583" s="223" t="s">
        <v>78</v>
      </c>
      <c r="B583" s="224" t="s">
        <v>779</v>
      </c>
      <c r="C583" s="225" t="s">
        <v>794</v>
      </c>
      <c r="D583" s="226" t="s">
        <v>1108</v>
      </c>
      <c r="E583" s="225" t="s">
        <v>81</v>
      </c>
      <c r="F583" s="515">
        <f>'MEMÓRIA DE CÁLCULO'!D128</f>
        <v>2</v>
      </c>
      <c r="G583" s="228"/>
      <c r="H583" s="229">
        <f>ROUND(SUM(H584:H594),2)</f>
        <v>556.75</v>
      </c>
      <c r="I583" s="229">
        <f>ROUND(SUM(I584:I594),2)</f>
        <v>75.27</v>
      </c>
      <c r="J583" s="231">
        <f>(H583+I583)</f>
        <v>632.02</v>
      </c>
      <c r="K583" s="229">
        <f>F583*H583</f>
        <v>1113.5</v>
      </c>
      <c r="L583" s="230">
        <f>F583*I583</f>
        <v>150.54</v>
      </c>
      <c r="M583" s="231">
        <f>K583+L583</f>
        <v>1264.04</v>
      </c>
      <c r="N583" s="227">
        <f>M583*$N$7</f>
        <v>342.302032</v>
      </c>
      <c r="O583" s="227">
        <f>M583+N583</f>
        <v>1606.342032</v>
      </c>
    </row>
    <row r="584" spans="1:15" s="552" customFormat="1" ht="15" customHeight="1" x14ac:dyDescent="0.25">
      <c r="A584" s="543"/>
      <c r="B584" s="544" t="s">
        <v>715</v>
      </c>
      <c r="C584" s="513">
        <v>1214</v>
      </c>
      <c r="D584" s="545" t="s">
        <v>713</v>
      </c>
      <c r="E584" s="514" t="s">
        <v>42</v>
      </c>
      <c r="F584" s="546">
        <v>2.085</v>
      </c>
      <c r="G584" s="547">
        <v>12.39</v>
      </c>
      <c r="H584" s="548"/>
      <c r="I584" s="547">
        <f>F584*G584</f>
        <v>25.83315</v>
      </c>
      <c r="J584" s="549"/>
      <c r="K584" s="548"/>
      <c r="L584" s="547"/>
      <c r="M584" s="549"/>
      <c r="N584" s="550"/>
      <c r="O584" s="551"/>
    </row>
    <row r="585" spans="1:15" s="552" customFormat="1" ht="15" customHeight="1" x14ac:dyDescent="0.25">
      <c r="A585" s="543"/>
      <c r="B585" s="544" t="s">
        <v>715</v>
      </c>
      <c r="C585" s="513">
        <v>4750</v>
      </c>
      <c r="D585" s="545" t="s">
        <v>714</v>
      </c>
      <c r="E585" s="514" t="s">
        <v>42</v>
      </c>
      <c r="F585" s="546">
        <v>1.4279999999999999</v>
      </c>
      <c r="G585" s="547">
        <v>12.57</v>
      </c>
      <c r="H585" s="548"/>
      <c r="I585" s="547">
        <f t="shared" ref="I585:I586" si="67">F585*G585</f>
        <v>17.949960000000001</v>
      </c>
      <c r="J585" s="549"/>
      <c r="K585" s="548"/>
      <c r="L585" s="547"/>
      <c r="M585" s="549"/>
      <c r="N585" s="550"/>
      <c r="O585" s="551"/>
    </row>
    <row r="586" spans="1:15" s="552" customFormat="1" ht="15" customHeight="1" x14ac:dyDescent="0.25">
      <c r="A586" s="543"/>
      <c r="B586" s="544" t="s">
        <v>658</v>
      </c>
      <c r="C586" s="513">
        <v>6111</v>
      </c>
      <c r="D586" s="545" t="s">
        <v>670</v>
      </c>
      <c r="E586" s="514" t="s">
        <v>42</v>
      </c>
      <c r="F586" s="546">
        <v>3.53</v>
      </c>
      <c r="G586" s="547">
        <v>8.92</v>
      </c>
      <c r="H586" s="548"/>
      <c r="I586" s="547">
        <f t="shared" si="67"/>
        <v>31.487599999999997</v>
      </c>
      <c r="J586" s="549"/>
      <c r="K586" s="548"/>
      <c r="L586" s="547"/>
      <c r="M586" s="549"/>
      <c r="N586" s="550"/>
      <c r="O586" s="551"/>
    </row>
    <row r="587" spans="1:15" s="552" customFormat="1" ht="15" customHeight="1" x14ac:dyDescent="0.25">
      <c r="A587" s="543"/>
      <c r="B587" s="544" t="s">
        <v>664</v>
      </c>
      <c r="C587" s="513">
        <v>88627</v>
      </c>
      <c r="D587" s="545" t="s">
        <v>706</v>
      </c>
      <c r="E587" s="514" t="s">
        <v>233</v>
      </c>
      <c r="F587" s="546">
        <v>1.0200000000000001E-2</v>
      </c>
      <c r="G587" s="547">
        <v>392.17</v>
      </c>
      <c r="H587" s="548">
        <f t="shared" ref="H587:H588" si="68">F587*G587</f>
        <v>4.0001340000000001</v>
      </c>
      <c r="I587" s="547"/>
      <c r="J587" s="549"/>
      <c r="K587" s="548"/>
      <c r="L587" s="547"/>
      <c r="M587" s="549"/>
      <c r="N587" s="550"/>
      <c r="O587" s="551"/>
    </row>
    <row r="588" spans="1:15" s="552" customFormat="1" ht="15" customHeight="1" x14ac:dyDescent="0.25">
      <c r="A588" s="543"/>
      <c r="B588" s="544" t="s">
        <v>657</v>
      </c>
      <c r="C588" s="513">
        <v>183</v>
      </c>
      <c r="D588" s="545" t="s">
        <v>707</v>
      </c>
      <c r="E588" s="514" t="s">
        <v>708</v>
      </c>
      <c r="F588" s="546">
        <v>1</v>
      </c>
      <c r="G588" s="547">
        <v>107.3</v>
      </c>
      <c r="H588" s="548">
        <f t="shared" si="68"/>
        <v>107.3</v>
      </c>
      <c r="I588" s="547"/>
      <c r="J588" s="549"/>
      <c r="K588" s="548"/>
      <c r="L588" s="547"/>
      <c r="M588" s="549"/>
      <c r="N588" s="550"/>
      <c r="O588" s="551"/>
    </row>
    <row r="589" spans="1:15" s="552" customFormat="1" ht="15" customHeight="1" x14ac:dyDescent="0.25">
      <c r="A589" s="543"/>
      <c r="B589" s="544" t="s">
        <v>657</v>
      </c>
      <c r="C589" s="513">
        <v>187</v>
      </c>
      <c r="D589" s="545" t="s">
        <v>711</v>
      </c>
      <c r="E589" s="514" t="s">
        <v>56</v>
      </c>
      <c r="F589" s="546">
        <v>10.199999999999999</v>
      </c>
      <c r="G589" s="547">
        <v>7.85</v>
      </c>
      <c r="H589" s="548">
        <f>F589*G589</f>
        <v>80.069999999999993</v>
      </c>
      <c r="I589" s="547"/>
      <c r="J589" s="549"/>
      <c r="K589" s="548"/>
      <c r="L589" s="547"/>
      <c r="M589" s="549"/>
      <c r="N589" s="550"/>
      <c r="O589" s="551"/>
    </row>
    <row r="590" spans="1:15" s="552" customFormat="1" ht="15" customHeight="1" x14ac:dyDescent="0.25">
      <c r="A590" s="543"/>
      <c r="B590" s="544" t="s">
        <v>658</v>
      </c>
      <c r="C590" s="513">
        <v>4378</v>
      </c>
      <c r="D590" s="545" t="s">
        <v>709</v>
      </c>
      <c r="E590" s="514" t="s">
        <v>41</v>
      </c>
      <c r="F590" s="546">
        <v>6</v>
      </c>
      <c r="G590" s="547">
        <v>0.47</v>
      </c>
      <c r="H590" s="548">
        <f>F590*G590</f>
        <v>2.82</v>
      </c>
      <c r="I590" s="547"/>
      <c r="J590" s="549"/>
      <c r="K590" s="548"/>
      <c r="L590" s="547"/>
      <c r="M590" s="549"/>
      <c r="N590" s="550"/>
      <c r="O590" s="551"/>
    </row>
    <row r="591" spans="1:15" s="552" customFormat="1" ht="15" customHeight="1" x14ac:dyDescent="0.25">
      <c r="A591" s="543"/>
      <c r="B591" s="544" t="s">
        <v>658</v>
      </c>
      <c r="C591" s="513">
        <v>4419</v>
      </c>
      <c r="D591" s="545" t="s">
        <v>710</v>
      </c>
      <c r="E591" s="514" t="s">
        <v>41</v>
      </c>
      <c r="F591" s="546">
        <v>6</v>
      </c>
      <c r="G591" s="547">
        <v>0.66</v>
      </c>
      <c r="H591" s="548">
        <f>F591*G591</f>
        <v>3.96</v>
      </c>
      <c r="I591" s="547"/>
      <c r="J591" s="549"/>
      <c r="K591" s="548"/>
      <c r="L591" s="547"/>
      <c r="M591" s="549"/>
      <c r="N591" s="550"/>
      <c r="O591" s="551"/>
    </row>
    <row r="592" spans="1:15" s="552" customFormat="1" ht="15" customHeight="1" x14ac:dyDescent="0.25">
      <c r="A592" s="543"/>
      <c r="B592" s="544" t="s">
        <v>658</v>
      </c>
      <c r="C592" s="513">
        <v>4987</v>
      </c>
      <c r="D592" s="545" t="s">
        <v>719</v>
      </c>
      <c r="E592" s="514" t="s">
        <v>41</v>
      </c>
      <c r="F592" s="546">
        <v>1</v>
      </c>
      <c r="G592" s="547">
        <v>116.22</v>
      </c>
      <c r="H592" s="548">
        <f t="shared" ref="H592" si="69">F592*G592</f>
        <v>116.22</v>
      </c>
      <c r="I592" s="547"/>
      <c r="J592" s="549"/>
      <c r="K592" s="548"/>
      <c r="L592" s="547"/>
      <c r="M592" s="549"/>
      <c r="N592" s="550"/>
      <c r="O592" s="551"/>
    </row>
    <row r="593" spans="1:15" s="552" customFormat="1" ht="15" customHeight="1" x14ac:dyDescent="0.25">
      <c r="A593" s="543"/>
      <c r="B593" s="544" t="s">
        <v>658</v>
      </c>
      <c r="C593" s="513">
        <v>11447</v>
      </c>
      <c r="D593" s="545" t="s">
        <v>720</v>
      </c>
      <c r="E593" s="514" t="s">
        <v>41</v>
      </c>
      <c r="F593" s="546">
        <v>6</v>
      </c>
      <c r="G593" s="547">
        <v>39.630000000000003</v>
      </c>
      <c r="H593" s="548">
        <f>F593*G593</f>
        <v>237.78000000000003</v>
      </c>
      <c r="I593" s="547"/>
      <c r="J593" s="549"/>
      <c r="K593" s="548"/>
      <c r="L593" s="547"/>
      <c r="M593" s="549"/>
      <c r="N593" s="550"/>
      <c r="O593" s="551"/>
    </row>
    <row r="594" spans="1:15" s="552" customFormat="1" ht="15" customHeight="1" x14ac:dyDescent="0.25">
      <c r="A594" s="543"/>
      <c r="B594" s="544" t="s">
        <v>658</v>
      </c>
      <c r="C594" s="513">
        <v>20247</v>
      </c>
      <c r="D594" s="545" t="s">
        <v>712</v>
      </c>
      <c r="E594" s="514" t="s">
        <v>694</v>
      </c>
      <c r="F594" s="546">
        <v>0.61199999999999999</v>
      </c>
      <c r="G594" s="547">
        <v>7.52</v>
      </c>
      <c r="H594" s="548">
        <f t="shared" ref="H594" si="70">F594*G594</f>
        <v>4.6022399999999992</v>
      </c>
      <c r="I594" s="547"/>
      <c r="J594" s="549"/>
      <c r="K594" s="548"/>
      <c r="L594" s="547"/>
      <c r="M594" s="549"/>
      <c r="N594" s="550"/>
      <c r="O594" s="551"/>
    </row>
    <row r="595" spans="1:15" s="552" customFormat="1" ht="15" customHeight="1" x14ac:dyDescent="0.25">
      <c r="A595" s="543"/>
      <c r="B595" s="544"/>
      <c r="C595" s="513"/>
      <c r="D595" s="545"/>
      <c r="E595" s="514"/>
      <c r="F595" s="546"/>
      <c r="G595" s="547"/>
      <c r="H595" s="548"/>
      <c r="I595" s="547"/>
      <c r="J595" s="549"/>
      <c r="K595" s="548"/>
      <c r="L595" s="547"/>
      <c r="M595" s="549"/>
      <c r="N595" s="550"/>
      <c r="O595" s="551"/>
    </row>
    <row r="596" spans="1:15" s="23" customFormat="1" ht="45" x14ac:dyDescent="0.2">
      <c r="A596" s="223" t="s">
        <v>78</v>
      </c>
      <c r="B596" s="224" t="s">
        <v>718</v>
      </c>
      <c r="C596" s="225" t="s">
        <v>795</v>
      </c>
      <c r="D596" s="226" t="s">
        <v>196</v>
      </c>
      <c r="E596" s="225" t="s">
        <v>81</v>
      </c>
      <c r="F596" s="515">
        <f>'MEMÓRIA DE CÁLCULO'!D130</f>
        <v>1</v>
      </c>
      <c r="G596" s="228"/>
      <c r="H596" s="229">
        <f>ROUND(SUM(H597:H608),2)</f>
        <v>557.29</v>
      </c>
      <c r="I596" s="229">
        <f>ROUND(SUM(I597:I608),2)</f>
        <v>75.27</v>
      </c>
      <c r="J596" s="231">
        <f>(H596+I596)</f>
        <v>632.55999999999995</v>
      </c>
      <c r="K596" s="229">
        <f>F596*H596</f>
        <v>557.29</v>
      </c>
      <c r="L596" s="230">
        <f>F596*I596</f>
        <v>75.27</v>
      </c>
      <c r="M596" s="231">
        <f>K596+L596</f>
        <v>632.55999999999995</v>
      </c>
      <c r="N596" s="227">
        <f>M596*$N$7</f>
        <v>171.29724799999997</v>
      </c>
      <c r="O596" s="227">
        <f>M596+N596</f>
        <v>803.85724799999991</v>
      </c>
    </row>
    <row r="597" spans="1:15" s="552" customFormat="1" ht="15" customHeight="1" x14ac:dyDescent="0.25">
      <c r="A597" s="543"/>
      <c r="B597" s="544" t="s">
        <v>715</v>
      </c>
      <c r="C597" s="513">
        <v>1214</v>
      </c>
      <c r="D597" s="545" t="s">
        <v>713</v>
      </c>
      <c r="E597" s="514" t="s">
        <v>42</v>
      </c>
      <c r="F597" s="546">
        <v>2.085</v>
      </c>
      <c r="G597" s="547">
        <v>12.39</v>
      </c>
      <c r="H597" s="548"/>
      <c r="I597" s="547">
        <f>F597*G597</f>
        <v>25.83315</v>
      </c>
      <c r="J597" s="549"/>
      <c r="K597" s="548"/>
      <c r="L597" s="547"/>
      <c r="M597" s="549"/>
      <c r="N597" s="550"/>
      <c r="O597" s="551"/>
    </row>
    <row r="598" spans="1:15" s="552" customFormat="1" ht="15" customHeight="1" x14ac:dyDescent="0.25">
      <c r="A598" s="543"/>
      <c r="B598" s="544" t="s">
        <v>715</v>
      </c>
      <c r="C598" s="513">
        <v>4750</v>
      </c>
      <c r="D598" s="545" t="s">
        <v>714</v>
      </c>
      <c r="E598" s="514" t="s">
        <v>42</v>
      </c>
      <c r="F598" s="546">
        <v>1.4279999999999999</v>
      </c>
      <c r="G598" s="547">
        <v>12.57</v>
      </c>
      <c r="H598" s="548"/>
      <c r="I598" s="547">
        <f t="shared" ref="I598:I599" si="71">F598*G598</f>
        <v>17.949960000000001</v>
      </c>
      <c r="J598" s="549"/>
      <c r="K598" s="548"/>
      <c r="L598" s="547"/>
      <c r="M598" s="549"/>
      <c r="N598" s="550"/>
      <c r="O598" s="551"/>
    </row>
    <row r="599" spans="1:15" s="552" customFormat="1" ht="15" customHeight="1" x14ac:dyDescent="0.25">
      <c r="A599" s="543"/>
      <c r="B599" s="544" t="s">
        <v>658</v>
      </c>
      <c r="C599" s="513">
        <v>6111</v>
      </c>
      <c r="D599" s="545" t="s">
        <v>670</v>
      </c>
      <c r="E599" s="514" t="s">
        <v>42</v>
      </c>
      <c r="F599" s="546">
        <v>3.53</v>
      </c>
      <c r="G599" s="547">
        <v>8.92</v>
      </c>
      <c r="H599" s="548"/>
      <c r="I599" s="547">
        <f t="shared" si="71"/>
        <v>31.487599999999997</v>
      </c>
      <c r="J599" s="549"/>
      <c r="K599" s="548"/>
      <c r="L599" s="547"/>
      <c r="M599" s="549"/>
      <c r="N599" s="550"/>
      <c r="O599" s="551"/>
    </row>
    <row r="600" spans="1:15" s="552" customFormat="1" ht="15" customHeight="1" x14ac:dyDescent="0.25">
      <c r="A600" s="543"/>
      <c r="B600" s="544" t="s">
        <v>664</v>
      </c>
      <c r="C600" s="513">
        <v>88627</v>
      </c>
      <c r="D600" s="545" t="s">
        <v>706</v>
      </c>
      <c r="E600" s="514" t="s">
        <v>233</v>
      </c>
      <c r="F600" s="546">
        <v>1.0200000000000001E-2</v>
      </c>
      <c r="G600" s="547">
        <v>392.17</v>
      </c>
      <c r="H600" s="548">
        <f t="shared" ref="H600:H601" si="72">F600*G600</f>
        <v>4.0001340000000001</v>
      </c>
      <c r="I600" s="547"/>
      <c r="J600" s="549"/>
      <c r="K600" s="548"/>
      <c r="L600" s="547"/>
      <c r="M600" s="549"/>
      <c r="N600" s="550"/>
      <c r="O600" s="551"/>
    </row>
    <row r="601" spans="1:15" s="552" customFormat="1" ht="15" customHeight="1" x14ac:dyDescent="0.25">
      <c r="A601" s="543"/>
      <c r="B601" s="544" t="s">
        <v>657</v>
      </c>
      <c r="C601" s="513">
        <v>183</v>
      </c>
      <c r="D601" s="545" t="s">
        <v>707</v>
      </c>
      <c r="E601" s="514" t="s">
        <v>708</v>
      </c>
      <c r="F601" s="546">
        <v>1</v>
      </c>
      <c r="G601" s="547">
        <v>107.3</v>
      </c>
      <c r="H601" s="548">
        <f t="shared" si="72"/>
        <v>107.3</v>
      </c>
      <c r="I601" s="547"/>
      <c r="J601" s="549"/>
      <c r="K601" s="548"/>
      <c r="L601" s="547"/>
      <c r="M601" s="549"/>
      <c r="N601" s="550"/>
      <c r="O601" s="551"/>
    </row>
    <row r="602" spans="1:15" s="552" customFormat="1" ht="15" customHeight="1" x14ac:dyDescent="0.25">
      <c r="A602" s="543"/>
      <c r="B602" s="544" t="s">
        <v>657</v>
      </c>
      <c r="C602" s="513">
        <v>187</v>
      </c>
      <c r="D602" s="545" t="s">
        <v>711</v>
      </c>
      <c r="E602" s="514" t="s">
        <v>56</v>
      </c>
      <c r="F602" s="546">
        <v>10.199999999999999</v>
      </c>
      <c r="G602" s="547">
        <v>7.85</v>
      </c>
      <c r="H602" s="548">
        <f>F602*G602</f>
        <v>80.069999999999993</v>
      </c>
      <c r="I602" s="547"/>
      <c r="J602" s="549"/>
      <c r="K602" s="548"/>
      <c r="L602" s="547"/>
      <c r="M602" s="549"/>
      <c r="N602" s="550"/>
      <c r="O602" s="551"/>
    </row>
    <row r="603" spans="1:15" s="552" customFormat="1" ht="15" customHeight="1" x14ac:dyDescent="0.25">
      <c r="A603" s="543"/>
      <c r="B603" s="544" t="s">
        <v>658</v>
      </c>
      <c r="C603" s="513">
        <v>4378</v>
      </c>
      <c r="D603" s="545" t="s">
        <v>709</v>
      </c>
      <c r="E603" s="514" t="s">
        <v>41</v>
      </c>
      <c r="F603" s="546">
        <v>6</v>
      </c>
      <c r="G603" s="547">
        <v>0.47</v>
      </c>
      <c r="H603" s="548">
        <f>F603*G603</f>
        <v>2.82</v>
      </c>
      <c r="I603" s="547"/>
      <c r="J603" s="549"/>
      <c r="K603" s="548"/>
      <c r="L603" s="547"/>
      <c r="M603" s="549"/>
      <c r="N603" s="550"/>
      <c r="O603" s="551"/>
    </row>
    <row r="604" spans="1:15" s="552" customFormat="1" ht="15" customHeight="1" x14ac:dyDescent="0.25">
      <c r="A604" s="543"/>
      <c r="B604" s="544" t="s">
        <v>658</v>
      </c>
      <c r="C604" s="513">
        <v>4419</v>
      </c>
      <c r="D604" s="545" t="s">
        <v>710</v>
      </c>
      <c r="E604" s="514" t="s">
        <v>41</v>
      </c>
      <c r="F604" s="546">
        <v>6</v>
      </c>
      <c r="G604" s="547">
        <v>0.66</v>
      </c>
      <c r="H604" s="548">
        <f>F604*G604</f>
        <v>3.96</v>
      </c>
      <c r="I604" s="547"/>
      <c r="J604" s="549"/>
      <c r="K604" s="548"/>
      <c r="L604" s="547"/>
      <c r="M604" s="549"/>
      <c r="N604" s="550"/>
      <c r="O604" s="551"/>
    </row>
    <row r="605" spans="1:15" s="552" customFormat="1" ht="15" customHeight="1" x14ac:dyDescent="0.25">
      <c r="A605" s="543"/>
      <c r="B605" s="544" t="s">
        <v>658</v>
      </c>
      <c r="C605" s="513">
        <v>4987</v>
      </c>
      <c r="D605" s="545" t="s">
        <v>719</v>
      </c>
      <c r="E605" s="514" t="s">
        <v>41</v>
      </c>
      <c r="F605" s="546">
        <v>1</v>
      </c>
      <c r="G605" s="547">
        <v>116.22</v>
      </c>
      <c r="H605" s="548">
        <f t="shared" ref="H605" si="73">F605*G605</f>
        <v>116.22</v>
      </c>
      <c r="I605" s="547"/>
      <c r="J605" s="549"/>
      <c r="K605" s="548"/>
      <c r="L605" s="547"/>
      <c r="M605" s="549"/>
      <c r="N605" s="550"/>
      <c r="O605" s="551"/>
    </row>
    <row r="606" spans="1:15" s="552" customFormat="1" ht="15" customHeight="1" x14ac:dyDescent="0.25">
      <c r="A606" s="543"/>
      <c r="B606" s="544" t="s">
        <v>658</v>
      </c>
      <c r="C606" s="513">
        <v>11447</v>
      </c>
      <c r="D606" s="545" t="s">
        <v>720</v>
      </c>
      <c r="E606" s="514" t="s">
        <v>41</v>
      </c>
      <c r="F606" s="546">
        <v>3</v>
      </c>
      <c r="G606" s="547">
        <v>17.34</v>
      </c>
      <c r="H606" s="548">
        <f>F606*G606</f>
        <v>52.019999999999996</v>
      </c>
      <c r="I606" s="547"/>
      <c r="J606" s="549"/>
      <c r="K606" s="548"/>
      <c r="L606" s="547"/>
      <c r="M606" s="549"/>
      <c r="N606" s="550"/>
      <c r="O606" s="551"/>
    </row>
    <row r="607" spans="1:15" s="552" customFormat="1" ht="15" customHeight="1" x14ac:dyDescent="0.25">
      <c r="A607" s="543"/>
      <c r="B607" s="544" t="s">
        <v>658</v>
      </c>
      <c r="C607" s="513">
        <v>20247</v>
      </c>
      <c r="D607" s="545" t="s">
        <v>712</v>
      </c>
      <c r="E607" s="514" t="s">
        <v>694</v>
      </c>
      <c r="F607" s="546">
        <v>0.61199999999999999</v>
      </c>
      <c r="G607" s="547">
        <v>7.52</v>
      </c>
      <c r="H607" s="548">
        <f t="shared" ref="H607:H608" si="74">F607*G607</f>
        <v>4.6022399999999992</v>
      </c>
      <c r="I607" s="547"/>
      <c r="J607" s="549"/>
      <c r="K607" s="548"/>
      <c r="L607" s="547"/>
      <c r="M607" s="549"/>
      <c r="N607" s="550"/>
      <c r="O607" s="551"/>
    </row>
    <row r="608" spans="1:15" s="552" customFormat="1" ht="15" customHeight="1" x14ac:dyDescent="0.25">
      <c r="A608" s="543"/>
      <c r="B608" s="544" t="s">
        <v>80</v>
      </c>
      <c r="C608" s="513"/>
      <c r="D608" s="545" t="s">
        <v>721</v>
      </c>
      <c r="E608" s="514" t="s">
        <v>81</v>
      </c>
      <c r="F608" s="546">
        <v>2</v>
      </c>
      <c r="G608" s="547">
        <v>93.15</v>
      </c>
      <c r="H608" s="548">
        <f t="shared" si="74"/>
        <v>186.3</v>
      </c>
      <c r="I608" s="547"/>
      <c r="J608" s="549"/>
      <c r="K608" s="548"/>
      <c r="L608" s="547"/>
      <c r="M608" s="549"/>
      <c r="N608" s="550"/>
      <c r="O608" s="551"/>
    </row>
    <row r="609" spans="1:15" s="23" customFormat="1" ht="14.25" x14ac:dyDescent="0.2">
      <c r="A609" s="134"/>
      <c r="B609" s="129"/>
      <c r="C609" s="29"/>
      <c r="D609" s="117" t="s">
        <v>83</v>
      </c>
      <c r="E609" s="30"/>
      <c r="F609" s="118"/>
      <c r="G609" s="31"/>
      <c r="H609" s="104"/>
      <c r="I609" s="27"/>
      <c r="J609" s="105"/>
      <c r="K609" s="104"/>
      <c r="L609" s="27"/>
      <c r="M609" s="105"/>
      <c r="N609" s="92"/>
      <c r="O609" s="92"/>
    </row>
    <row r="610" spans="1:15" s="23" customFormat="1" ht="45" x14ac:dyDescent="0.2">
      <c r="A610" s="223" t="s">
        <v>78</v>
      </c>
      <c r="B610" s="224" t="s">
        <v>718</v>
      </c>
      <c r="C610" s="225" t="s">
        <v>796</v>
      </c>
      <c r="D610" s="226" t="s">
        <v>502</v>
      </c>
      <c r="E610" s="225" t="s">
        <v>81</v>
      </c>
      <c r="F610" s="515">
        <f>'MEMÓRIA DE CÁLCULO'!D129</f>
        <v>1</v>
      </c>
      <c r="G610" s="228"/>
      <c r="H610" s="229">
        <f>ROUND(SUM(H611:H621),2)</f>
        <v>336.31</v>
      </c>
      <c r="I610" s="229">
        <f>ROUND(SUM(I611:I622),2)</f>
        <v>75.27</v>
      </c>
      <c r="J610" s="231">
        <f>(H610+I610)</f>
        <v>411.58</v>
      </c>
      <c r="K610" s="229">
        <f>F610*H610</f>
        <v>336.31</v>
      </c>
      <c r="L610" s="230">
        <f>F610*I610</f>
        <v>75.27</v>
      </c>
      <c r="M610" s="231">
        <f>K610+L610</f>
        <v>411.58</v>
      </c>
      <c r="N610" s="227">
        <f>M610*$N$7</f>
        <v>111.45586399999999</v>
      </c>
      <c r="O610" s="227">
        <f>M610+N610</f>
        <v>523.03586399999995</v>
      </c>
    </row>
    <row r="611" spans="1:15" s="552" customFormat="1" ht="15" customHeight="1" x14ac:dyDescent="0.25">
      <c r="A611" s="543"/>
      <c r="B611" s="544" t="s">
        <v>715</v>
      </c>
      <c r="C611" s="513">
        <v>1214</v>
      </c>
      <c r="D611" s="545" t="s">
        <v>713</v>
      </c>
      <c r="E611" s="514" t="s">
        <v>42</v>
      </c>
      <c r="F611" s="546">
        <v>2.085</v>
      </c>
      <c r="G611" s="547">
        <v>12.39</v>
      </c>
      <c r="H611" s="548"/>
      <c r="I611" s="547">
        <f>F611*G611</f>
        <v>25.83315</v>
      </c>
      <c r="J611" s="549"/>
      <c r="K611" s="548"/>
      <c r="L611" s="547"/>
      <c r="M611" s="549"/>
      <c r="N611" s="550"/>
      <c r="O611" s="551"/>
    </row>
    <row r="612" spans="1:15" s="552" customFormat="1" ht="15" customHeight="1" x14ac:dyDescent="0.25">
      <c r="A612" s="543"/>
      <c r="B612" s="544" t="s">
        <v>715</v>
      </c>
      <c r="C612" s="513">
        <v>4750</v>
      </c>
      <c r="D612" s="545" t="s">
        <v>714</v>
      </c>
      <c r="E612" s="514" t="s">
        <v>42</v>
      </c>
      <c r="F612" s="546">
        <v>1.4279999999999999</v>
      </c>
      <c r="G612" s="547">
        <v>12.57</v>
      </c>
      <c r="H612" s="548"/>
      <c r="I612" s="547">
        <f t="shared" ref="I612:I613" si="75">F612*G612</f>
        <v>17.949960000000001</v>
      </c>
      <c r="J612" s="549"/>
      <c r="K612" s="548"/>
      <c r="L612" s="547"/>
      <c r="M612" s="549"/>
      <c r="N612" s="550"/>
      <c r="O612" s="551"/>
    </row>
    <row r="613" spans="1:15" s="552" customFormat="1" ht="15" customHeight="1" x14ac:dyDescent="0.25">
      <c r="A613" s="543"/>
      <c r="B613" s="544" t="s">
        <v>658</v>
      </c>
      <c r="C613" s="513">
        <v>6111</v>
      </c>
      <c r="D613" s="545" t="s">
        <v>670</v>
      </c>
      <c r="E613" s="514" t="s">
        <v>42</v>
      </c>
      <c r="F613" s="546">
        <v>3.53</v>
      </c>
      <c r="G613" s="547">
        <v>8.92</v>
      </c>
      <c r="H613" s="548"/>
      <c r="I613" s="547">
        <f t="shared" si="75"/>
        <v>31.487599999999997</v>
      </c>
      <c r="J613" s="549"/>
      <c r="K613" s="548"/>
      <c r="L613" s="547"/>
      <c r="M613" s="549"/>
      <c r="N613" s="550"/>
      <c r="O613" s="551"/>
    </row>
    <row r="614" spans="1:15" s="552" customFormat="1" ht="15" customHeight="1" x14ac:dyDescent="0.25">
      <c r="A614" s="543"/>
      <c r="B614" s="544" t="s">
        <v>664</v>
      </c>
      <c r="C614" s="513">
        <v>88627</v>
      </c>
      <c r="D614" s="545" t="s">
        <v>706</v>
      </c>
      <c r="E614" s="514" t="s">
        <v>233</v>
      </c>
      <c r="F614" s="546">
        <v>1.0200000000000001E-2</v>
      </c>
      <c r="G614" s="547">
        <v>392.17</v>
      </c>
      <c r="H614" s="548">
        <f t="shared" ref="H614:H615" si="76">F614*G614</f>
        <v>4.0001340000000001</v>
      </c>
      <c r="I614" s="547"/>
      <c r="J614" s="549"/>
      <c r="K614" s="548"/>
      <c r="L614" s="547"/>
      <c r="M614" s="549"/>
      <c r="N614" s="550"/>
      <c r="O614" s="551"/>
    </row>
    <row r="615" spans="1:15" s="552" customFormat="1" ht="15" customHeight="1" x14ac:dyDescent="0.25">
      <c r="A615" s="543"/>
      <c r="B615" s="544" t="s">
        <v>657</v>
      </c>
      <c r="C615" s="513">
        <v>183</v>
      </c>
      <c r="D615" s="545" t="s">
        <v>707</v>
      </c>
      <c r="E615" s="514" t="s">
        <v>708</v>
      </c>
      <c r="F615" s="546">
        <v>1</v>
      </c>
      <c r="G615" s="547">
        <v>107.3</v>
      </c>
      <c r="H615" s="548">
        <f t="shared" si="76"/>
        <v>107.3</v>
      </c>
      <c r="I615" s="547"/>
      <c r="J615" s="549"/>
      <c r="K615" s="548"/>
      <c r="L615" s="547"/>
      <c r="M615" s="549"/>
      <c r="N615" s="550"/>
      <c r="O615" s="551"/>
    </row>
    <row r="616" spans="1:15" s="552" customFormat="1" ht="15" customHeight="1" x14ac:dyDescent="0.25">
      <c r="A616" s="543"/>
      <c r="B616" s="544" t="s">
        <v>657</v>
      </c>
      <c r="C616" s="513">
        <v>187</v>
      </c>
      <c r="D616" s="545" t="s">
        <v>711</v>
      </c>
      <c r="E616" s="514" t="s">
        <v>56</v>
      </c>
      <c r="F616" s="546">
        <v>10.199999999999999</v>
      </c>
      <c r="G616" s="547">
        <v>7.85</v>
      </c>
      <c r="H616" s="548">
        <f>F616*G616</f>
        <v>80.069999999999993</v>
      </c>
      <c r="I616" s="547"/>
      <c r="J616" s="549"/>
      <c r="K616" s="548"/>
      <c r="L616" s="547"/>
      <c r="M616" s="549"/>
      <c r="N616" s="550"/>
      <c r="O616" s="551"/>
    </row>
    <row r="617" spans="1:15" s="552" customFormat="1" ht="15" customHeight="1" x14ac:dyDescent="0.25">
      <c r="A617" s="543"/>
      <c r="B617" s="544" t="s">
        <v>658</v>
      </c>
      <c r="C617" s="513">
        <v>4378</v>
      </c>
      <c r="D617" s="545" t="s">
        <v>709</v>
      </c>
      <c r="E617" s="514" t="s">
        <v>41</v>
      </c>
      <c r="F617" s="546">
        <v>6</v>
      </c>
      <c r="G617" s="547">
        <v>0.47</v>
      </c>
      <c r="H617" s="548">
        <f>F617*G617</f>
        <v>2.82</v>
      </c>
      <c r="I617" s="547"/>
      <c r="J617" s="549"/>
      <c r="K617" s="548"/>
      <c r="L617" s="547"/>
      <c r="M617" s="549"/>
      <c r="N617" s="550"/>
      <c r="O617" s="551"/>
    </row>
    <row r="618" spans="1:15" s="552" customFormat="1" ht="15" customHeight="1" x14ac:dyDescent="0.25">
      <c r="A618" s="543"/>
      <c r="B618" s="544" t="s">
        <v>658</v>
      </c>
      <c r="C618" s="513">
        <v>4419</v>
      </c>
      <c r="D618" s="545" t="s">
        <v>710</v>
      </c>
      <c r="E618" s="514" t="s">
        <v>41</v>
      </c>
      <c r="F618" s="546">
        <v>6</v>
      </c>
      <c r="G618" s="547">
        <v>0.66</v>
      </c>
      <c r="H618" s="548">
        <f>F618*G618</f>
        <v>3.96</v>
      </c>
      <c r="I618" s="547"/>
      <c r="J618" s="549"/>
      <c r="K618" s="548"/>
      <c r="L618" s="547"/>
      <c r="M618" s="549"/>
      <c r="N618" s="550"/>
      <c r="O618" s="551"/>
    </row>
    <row r="619" spans="1:15" s="552" customFormat="1" ht="15" customHeight="1" x14ac:dyDescent="0.25">
      <c r="A619" s="543"/>
      <c r="B619" s="544" t="s">
        <v>658</v>
      </c>
      <c r="C619" s="513">
        <v>4987</v>
      </c>
      <c r="D619" s="545" t="s">
        <v>719</v>
      </c>
      <c r="E619" s="514" t="s">
        <v>41</v>
      </c>
      <c r="F619" s="546">
        <v>1</v>
      </c>
      <c r="G619" s="547">
        <v>116.22</v>
      </c>
      <c r="H619" s="548">
        <f t="shared" ref="H619" si="77">F619*G619</f>
        <v>116.22</v>
      </c>
      <c r="I619" s="547"/>
      <c r="J619" s="549"/>
      <c r="K619" s="548"/>
      <c r="L619" s="547"/>
      <c r="M619" s="549"/>
      <c r="N619" s="550"/>
      <c r="O619" s="551"/>
    </row>
    <row r="620" spans="1:15" s="552" customFormat="1" ht="15" customHeight="1" x14ac:dyDescent="0.25">
      <c r="A620" s="543"/>
      <c r="B620" s="544" t="s">
        <v>80</v>
      </c>
      <c r="C620" s="513"/>
      <c r="D620" s="545" t="s">
        <v>722</v>
      </c>
      <c r="E620" s="514" t="s">
        <v>41</v>
      </c>
      <c r="F620" s="546">
        <v>1</v>
      </c>
      <c r="G620" s="547">
        <v>17.34</v>
      </c>
      <c r="H620" s="548">
        <f>F620*G620</f>
        <v>17.34</v>
      </c>
      <c r="I620" s="547"/>
      <c r="J620" s="549"/>
      <c r="K620" s="548"/>
      <c r="L620" s="547"/>
      <c r="M620" s="549"/>
      <c r="N620" s="550"/>
      <c r="O620" s="551"/>
    </row>
    <row r="621" spans="1:15" s="552" customFormat="1" ht="15" customHeight="1" x14ac:dyDescent="0.25">
      <c r="A621" s="543"/>
      <c r="B621" s="544" t="s">
        <v>658</v>
      </c>
      <c r="C621" s="513">
        <v>20247</v>
      </c>
      <c r="D621" s="545" t="s">
        <v>712</v>
      </c>
      <c r="E621" s="514" t="s">
        <v>694</v>
      </c>
      <c r="F621" s="546">
        <v>0.61199999999999999</v>
      </c>
      <c r="G621" s="547">
        <v>7.52</v>
      </c>
      <c r="H621" s="548">
        <f t="shared" ref="H621" si="78">F621*G621</f>
        <v>4.6022399999999992</v>
      </c>
      <c r="I621" s="547"/>
      <c r="J621" s="549"/>
      <c r="K621" s="548"/>
      <c r="L621" s="547"/>
      <c r="M621" s="549"/>
      <c r="N621" s="550"/>
      <c r="O621" s="551"/>
    </row>
    <row r="622" spans="1:15" s="23" customFormat="1" ht="14.25" x14ac:dyDescent="0.2">
      <c r="A622" s="134"/>
      <c r="B622" s="129"/>
      <c r="C622" s="29"/>
      <c r="D622" s="117" t="s">
        <v>83</v>
      </c>
      <c r="E622" s="30"/>
      <c r="F622" s="118"/>
      <c r="G622" s="31"/>
      <c r="H622" s="104"/>
      <c r="I622" s="27"/>
      <c r="J622" s="105"/>
      <c r="K622" s="104"/>
      <c r="L622" s="27"/>
      <c r="M622" s="105"/>
      <c r="N622" s="92"/>
      <c r="O622" s="92"/>
    </row>
    <row r="623" spans="1:15" s="23" customFormat="1" ht="45" x14ac:dyDescent="0.2">
      <c r="A623" s="223" t="s">
        <v>78</v>
      </c>
      <c r="B623" s="224" t="s">
        <v>726</v>
      </c>
      <c r="C623" s="225" t="s">
        <v>797</v>
      </c>
      <c r="D623" s="226" t="s">
        <v>298</v>
      </c>
      <c r="E623" s="225" t="s">
        <v>81</v>
      </c>
      <c r="F623" s="515">
        <f>'MEMÓRIA DE CÁLCULO'!D131</f>
        <v>1</v>
      </c>
      <c r="G623" s="228"/>
      <c r="H623" s="229">
        <f>ROUND(SUM(H624:H629),2)</f>
        <v>88.67</v>
      </c>
      <c r="I623" s="229">
        <f>ROUND(SUM(I624:I629),2)</f>
        <v>75.27</v>
      </c>
      <c r="J623" s="231">
        <f>(H623+I623)</f>
        <v>163.94</v>
      </c>
      <c r="K623" s="229">
        <f>F623*H623</f>
        <v>88.67</v>
      </c>
      <c r="L623" s="230">
        <f>F623*I623</f>
        <v>75.27</v>
      </c>
      <c r="M623" s="231">
        <f>K623+L623</f>
        <v>163.94</v>
      </c>
      <c r="N623" s="227">
        <f>M623*$N$7</f>
        <v>44.394951999999996</v>
      </c>
      <c r="O623" s="227">
        <f>M623+N623</f>
        <v>208.33495199999999</v>
      </c>
    </row>
    <row r="624" spans="1:15" s="552" customFormat="1" ht="15" customHeight="1" x14ac:dyDescent="0.25">
      <c r="A624" s="543"/>
      <c r="B624" s="544" t="s">
        <v>715</v>
      </c>
      <c r="C624" s="513">
        <v>1214</v>
      </c>
      <c r="D624" s="545" t="s">
        <v>713</v>
      </c>
      <c r="E624" s="514" t="s">
        <v>42</v>
      </c>
      <c r="F624" s="546">
        <v>2.085</v>
      </c>
      <c r="G624" s="547">
        <v>12.39</v>
      </c>
      <c r="H624" s="548"/>
      <c r="I624" s="547">
        <f>F624*G624</f>
        <v>25.83315</v>
      </c>
      <c r="J624" s="549"/>
      <c r="K624" s="548"/>
      <c r="L624" s="547"/>
      <c r="M624" s="549"/>
      <c r="N624" s="550"/>
      <c r="O624" s="551"/>
    </row>
    <row r="625" spans="1:15" s="552" customFormat="1" ht="15" customHeight="1" x14ac:dyDescent="0.25">
      <c r="A625" s="543"/>
      <c r="B625" s="544" t="s">
        <v>715</v>
      </c>
      <c r="C625" s="513">
        <v>4750</v>
      </c>
      <c r="D625" s="545" t="s">
        <v>714</v>
      </c>
      <c r="E625" s="514" t="s">
        <v>42</v>
      </c>
      <c r="F625" s="546">
        <v>1.4279999999999999</v>
      </c>
      <c r="G625" s="547">
        <v>12.57</v>
      </c>
      <c r="H625" s="548"/>
      <c r="I625" s="547">
        <f t="shared" ref="I625:I626" si="79">F625*G625</f>
        <v>17.949960000000001</v>
      </c>
      <c r="J625" s="549"/>
      <c r="K625" s="548"/>
      <c r="L625" s="547"/>
      <c r="M625" s="549"/>
      <c r="N625" s="550"/>
      <c r="O625" s="551"/>
    </row>
    <row r="626" spans="1:15" s="552" customFormat="1" ht="15" customHeight="1" x14ac:dyDescent="0.25">
      <c r="A626" s="543"/>
      <c r="B626" s="544" t="s">
        <v>658</v>
      </c>
      <c r="C626" s="513">
        <v>6111</v>
      </c>
      <c r="D626" s="545" t="s">
        <v>670</v>
      </c>
      <c r="E626" s="514" t="s">
        <v>42</v>
      </c>
      <c r="F626" s="546">
        <v>3.53</v>
      </c>
      <c r="G626" s="547">
        <v>8.92</v>
      </c>
      <c r="H626" s="548"/>
      <c r="I626" s="547">
        <f t="shared" si="79"/>
        <v>31.487599999999997</v>
      </c>
      <c r="J626" s="549"/>
      <c r="K626" s="548"/>
      <c r="L626" s="547"/>
      <c r="M626" s="549"/>
      <c r="N626" s="550"/>
      <c r="O626" s="551"/>
    </row>
    <row r="627" spans="1:15" s="552" customFormat="1" ht="15" customHeight="1" x14ac:dyDescent="0.25">
      <c r="A627" s="543"/>
      <c r="B627" s="544" t="s">
        <v>664</v>
      </c>
      <c r="C627" s="513">
        <v>88627</v>
      </c>
      <c r="D627" s="545" t="s">
        <v>706</v>
      </c>
      <c r="E627" s="514" t="s">
        <v>233</v>
      </c>
      <c r="F627" s="546">
        <v>1.0200000000000001E-2</v>
      </c>
      <c r="G627" s="547">
        <v>392.17</v>
      </c>
      <c r="H627" s="548">
        <f t="shared" ref="H627" si="80">F627*G627</f>
        <v>4.0001340000000001</v>
      </c>
      <c r="I627" s="547"/>
      <c r="J627" s="549"/>
      <c r="K627" s="548"/>
      <c r="L627" s="547"/>
      <c r="M627" s="549"/>
      <c r="N627" s="550"/>
      <c r="O627" s="551"/>
    </row>
    <row r="628" spans="1:15" s="552" customFormat="1" ht="15" customHeight="1" x14ac:dyDescent="0.25">
      <c r="A628" s="543"/>
      <c r="B628" s="544" t="s">
        <v>657</v>
      </c>
      <c r="C628" s="513">
        <v>187</v>
      </c>
      <c r="D628" s="545" t="s">
        <v>711</v>
      </c>
      <c r="E628" s="514" t="s">
        <v>56</v>
      </c>
      <c r="F628" s="546">
        <v>10.199999999999999</v>
      </c>
      <c r="G628" s="547">
        <v>7.85</v>
      </c>
      <c r="H628" s="548">
        <f>F628*G628</f>
        <v>80.069999999999993</v>
      </c>
      <c r="I628" s="547"/>
      <c r="J628" s="549"/>
      <c r="K628" s="548"/>
      <c r="L628" s="547"/>
      <c r="M628" s="549"/>
      <c r="N628" s="550"/>
      <c r="O628" s="551"/>
    </row>
    <row r="629" spans="1:15" s="552" customFormat="1" ht="15" customHeight="1" x14ac:dyDescent="0.25">
      <c r="A629" s="543"/>
      <c r="B629" s="544" t="s">
        <v>658</v>
      </c>
      <c r="C629" s="513">
        <v>20247</v>
      </c>
      <c r="D629" s="545" t="s">
        <v>712</v>
      </c>
      <c r="E629" s="514" t="s">
        <v>694</v>
      </c>
      <c r="F629" s="546">
        <v>0.61199999999999999</v>
      </c>
      <c r="G629" s="547">
        <v>7.52</v>
      </c>
      <c r="H629" s="548">
        <f t="shared" ref="H629" si="81">F629*G629</f>
        <v>4.6022399999999992</v>
      </c>
      <c r="I629" s="547"/>
      <c r="J629" s="549"/>
      <c r="K629" s="548"/>
      <c r="L629" s="547"/>
      <c r="M629" s="549"/>
      <c r="N629" s="550"/>
      <c r="O629" s="551"/>
    </row>
    <row r="630" spans="1:15" s="23" customFormat="1" ht="14.25" x14ac:dyDescent="0.2">
      <c r="A630" s="134"/>
      <c r="B630" s="129"/>
      <c r="C630" s="29"/>
      <c r="D630" s="117" t="s">
        <v>83</v>
      </c>
      <c r="E630" s="30"/>
      <c r="F630" s="118"/>
      <c r="G630" s="31"/>
      <c r="H630" s="104"/>
      <c r="I630" s="27"/>
      <c r="J630" s="105"/>
      <c r="K630" s="104"/>
      <c r="L630" s="27"/>
      <c r="M630" s="105"/>
      <c r="N630" s="92"/>
      <c r="O630" s="92"/>
    </row>
    <row r="631" spans="1:15" s="23" customFormat="1" ht="33.75" x14ac:dyDescent="0.2">
      <c r="A631" s="223" t="s">
        <v>78</v>
      </c>
      <c r="B631" s="224" t="s">
        <v>716</v>
      </c>
      <c r="C631" s="225" t="s">
        <v>798</v>
      </c>
      <c r="D631" s="226" t="s">
        <v>1065</v>
      </c>
      <c r="E631" s="225" t="s">
        <v>81</v>
      </c>
      <c r="F631" s="515">
        <f>F610+F596+F583</f>
        <v>4</v>
      </c>
      <c r="G631" s="228"/>
      <c r="H631" s="229">
        <f>ROUND(SUM(H632:H634),2)</f>
        <v>72.900000000000006</v>
      </c>
      <c r="I631" s="229">
        <f>ROUND(SUM(I632:I634),2)</f>
        <v>28.39</v>
      </c>
      <c r="J631" s="231">
        <f>(H631+I631)</f>
        <v>101.29</v>
      </c>
      <c r="K631" s="229">
        <f>F631*H631</f>
        <v>291.60000000000002</v>
      </c>
      <c r="L631" s="230">
        <f>F631*I631</f>
        <v>113.56</v>
      </c>
      <c r="M631" s="231">
        <f>K631+L631</f>
        <v>405.16</v>
      </c>
      <c r="N631" s="227">
        <f>M631*$N$7</f>
        <v>109.71732799999999</v>
      </c>
      <c r="O631" s="227">
        <f>M631+N631</f>
        <v>514.87732800000003</v>
      </c>
    </row>
    <row r="632" spans="1:15" s="552" customFormat="1" ht="15" customHeight="1" x14ac:dyDescent="0.25">
      <c r="A632" s="543"/>
      <c r="B632" s="544" t="s">
        <v>658</v>
      </c>
      <c r="C632" s="513">
        <v>6117</v>
      </c>
      <c r="D632" s="545" t="s">
        <v>682</v>
      </c>
      <c r="E632" s="514" t="s">
        <v>42</v>
      </c>
      <c r="F632" s="546">
        <v>1.3</v>
      </c>
      <c r="G632" s="547">
        <v>9.4499999999999993</v>
      </c>
      <c r="H632" s="548"/>
      <c r="I632" s="547">
        <f t="shared" ref="I632" si="82">F632*G632</f>
        <v>12.285</v>
      </c>
      <c r="J632" s="549"/>
      <c r="K632" s="548"/>
      <c r="L632" s="547"/>
      <c r="M632" s="549"/>
      <c r="N632" s="550"/>
      <c r="O632" s="551"/>
    </row>
    <row r="633" spans="1:15" s="552" customFormat="1" ht="15" customHeight="1" x14ac:dyDescent="0.25">
      <c r="A633" s="543"/>
      <c r="B633" s="544" t="s">
        <v>715</v>
      </c>
      <c r="C633" s="513">
        <v>1214</v>
      </c>
      <c r="D633" s="545" t="s">
        <v>713</v>
      </c>
      <c r="E633" s="514" t="s">
        <v>42</v>
      </c>
      <c r="F633" s="546">
        <v>1.3</v>
      </c>
      <c r="G633" s="547">
        <v>12.39</v>
      </c>
      <c r="H633" s="548"/>
      <c r="I633" s="547">
        <f>F633*G633</f>
        <v>16.107000000000003</v>
      </c>
      <c r="J633" s="549"/>
      <c r="K633" s="548"/>
      <c r="L633" s="547"/>
      <c r="M633" s="549"/>
      <c r="N633" s="550"/>
      <c r="O633" s="551"/>
    </row>
    <row r="634" spans="1:15" s="552" customFormat="1" ht="15" customHeight="1" x14ac:dyDescent="0.25">
      <c r="A634" s="543"/>
      <c r="B634" s="544"/>
      <c r="C634" s="513" t="s">
        <v>80</v>
      </c>
      <c r="D634" s="545" t="s">
        <v>717</v>
      </c>
      <c r="E634" s="514" t="s">
        <v>41</v>
      </c>
      <c r="F634" s="546">
        <v>1</v>
      </c>
      <c r="G634" s="547">
        <v>72.900000000000006</v>
      </c>
      <c r="H634" s="548">
        <f t="shared" ref="H634" si="83">F634*G634</f>
        <v>72.900000000000006</v>
      </c>
      <c r="I634" s="547"/>
      <c r="J634" s="549"/>
      <c r="K634" s="548"/>
      <c r="L634" s="547"/>
      <c r="M634" s="549"/>
      <c r="N634" s="550"/>
      <c r="O634" s="551"/>
    </row>
    <row r="635" spans="1:15" s="552" customFormat="1" ht="15" customHeight="1" x14ac:dyDescent="0.25">
      <c r="A635" s="543"/>
      <c r="B635" s="544"/>
      <c r="C635" s="513"/>
      <c r="D635" s="545"/>
      <c r="E635" s="514"/>
      <c r="F635" s="546"/>
      <c r="G635" s="547"/>
      <c r="H635" s="548"/>
      <c r="I635" s="547"/>
      <c r="J635" s="549"/>
      <c r="K635" s="548"/>
      <c r="L635" s="547"/>
      <c r="M635" s="549"/>
      <c r="N635" s="550"/>
      <c r="O635" s="551"/>
    </row>
    <row r="636" spans="1:15" s="266" customFormat="1" ht="12.75" x14ac:dyDescent="0.2">
      <c r="A636" s="516"/>
      <c r="B636" s="517"/>
      <c r="C636" s="518" t="s">
        <v>189</v>
      </c>
      <c r="D636" s="519" t="s">
        <v>106</v>
      </c>
      <c r="E636" s="520"/>
      <c r="F636" s="519"/>
      <c r="G636" s="520"/>
      <c r="H636" s="521"/>
      <c r="I636" s="522"/>
      <c r="J636" s="523"/>
      <c r="K636" s="521"/>
      <c r="L636" s="522"/>
      <c r="M636" s="523"/>
      <c r="N636" s="524"/>
      <c r="O636" s="525">
        <f>SUM(O638:O656)</f>
        <v>15621.695323199998</v>
      </c>
    </row>
    <row r="637" spans="1:15" s="23" customFormat="1" ht="14.25" x14ac:dyDescent="0.2">
      <c r="A637" s="134"/>
      <c r="B637" s="129"/>
      <c r="C637" s="29"/>
      <c r="D637" s="117" t="s">
        <v>83</v>
      </c>
      <c r="E637" s="30"/>
      <c r="F637" s="118"/>
      <c r="G637" s="31"/>
      <c r="H637" s="104"/>
      <c r="I637" s="27"/>
      <c r="J637" s="105"/>
      <c r="K637" s="104"/>
      <c r="L637" s="27"/>
      <c r="M637" s="105"/>
      <c r="N637" s="92"/>
      <c r="O637" s="92"/>
    </row>
    <row r="638" spans="1:15" s="23" customFormat="1" ht="14.25" x14ac:dyDescent="0.2">
      <c r="A638" s="223" t="s">
        <v>79</v>
      </c>
      <c r="B638" s="224">
        <v>10006000009</v>
      </c>
      <c r="C638" s="225" t="s">
        <v>799</v>
      </c>
      <c r="D638" s="226" t="s">
        <v>1109</v>
      </c>
      <c r="E638" s="225" t="s">
        <v>27</v>
      </c>
      <c r="F638" s="515">
        <f>F506</f>
        <v>240</v>
      </c>
      <c r="G638" s="228"/>
      <c r="H638" s="229">
        <f>ROUND(SUM(H639:H642),2)</f>
        <v>8.2899999999999991</v>
      </c>
      <c r="I638" s="229">
        <f>ROUND(SUM(I639:I642),2)</f>
        <v>2.23</v>
      </c>
      <c r="J638" s="231">
        <f>(H638+I638)</f>
        <v>10.52</v>
      </c>
      <c r="K638" s="229">
        <f>F638*H638</f>
        <v>1989.6</v>
      </c>
      <c r="L638" s="230">
        <f>F638*I638</f>
        <v>535.20000000000005</v>
      </c>
      <c r="M638" s="231">
        <f>K638+L638</f>
        <v>2524.8000000000002</v>
      </c>
      <c r="N638" s="227">
        <f>M638*$N$7</f>
        <v>683.71583999999996</v>
      </c>
      <c r="O638" s="227">
        <f>M638+N638</f>
        <v>3208.51584</v>
      </c>
    </row>
    <row r="639" spans="1:15" s="552" customFormat="1" ht="15" customHeight="1" x14ac:dyDescent="0.25">
      <c r="A639" s="543"/>
      <c r="B639" s="544" t="s">
        <v>658</v>
      </c>
      <c r="C639" s="513">
        <v>6111</v>
      </c>
      <c r="D639" s="545" t="s">
        <v>670</v>
      </c>
      <c r="E639" s="514" t="s">
        <v>42</v>
      </c>
      <c r="F639" s="546">
        <v>0.25</v>
      </c>
      <c r="G639" s="547">
        <v>8.92</v>
      </c>
      <c r="H639" s="548"/>
      <c r="I639" s="547">
        <f t="shared" ref="I639" si="84">F639*G639</f>
        <v>2.23</v>
      </c>
      <c r="J639" s="549"/>
      <c r="K639" s="548"/>
      <c r="L639" s="547"/>
      <c r="M639" s="549"/>
      <c r="N639" s="550"/>
      <c r="O639" s="551"/>
    </row>
    <row r="640" spans="1:15" s="552" customFormat="1" ht="15" customHeight="1" x14ac:dyDescent="0.25">
      <c r="A640" s="543"/>
      <c r="B640" s="544"/>
      <c r="C640" s="513"/>
      <c r="D640" s="545" t="s">
        <v>761</v>
      </c>
      <c r="E640" s="514" t="s">
        <v>233</v>
      </c>
      <c r="F640" s="546">
        <v>2.2440000000000002E-2</v>
      </c>
      <c r="G640" s="547">
        <v>54.27</v>
      </c>
      <c r="H640" s="548">
        <f>F640*G640</f>
        <v>1.2178188000000001</v>
      </c>
      <c r="I640" s="547"/>
      <c r="J640" s="549"/>
      <c r="K640" s="548"/>
      <c r="L640" s="547"/>
      <c r="M640" s="549"/>
      <c r="N640" s="550"/>
      <c r="O640" s="551"/>
    </row>
    <row r="641" spans="1:15" s="552" customFormat="1" ht="15" customHeight="1" x14ac:dyDescent="0.25">
      <c r="A641" s="543"/>
      <c r="B641" s="544"/>
      <c r="C641" s="513"/>
      <c r="D641" s="545" t="s">
        <v>762</v>
      </c>
      <c r="E641" s="514" t="s">
        <v>48</v>
      </c>
      <c r="F641" s="546">
        <v>7.3</v>
      </c>
      <c r="G641" s="547">
        <v>0.44</v>
      </c>
      <c r="H641" s="548">
        <f>F641*G641</f>
        <v>3.2119999999999997</v>
      </c>
      <c r="I641" s="547"/>
      <c r="J641" s="549"/>
      <c r="K641" s="548"/>
      <c r="L641" s="547"/>
      <c r="M641" s="549"/>
      <c r="N641" s="550"/>
      <c r="O641" s="551"/>
    </row>
    <row r="642" spans="1:15" s="552" customFormat="1" ht="15" customHeight="1" x14ac:dyDescent="0.25">
      <c r="A642" s="543"/>
      <c r="B642" s="544"/>
      <c r="C642" s="513"/>
      <c r="D642" s="545" t="s">
        <v>763</v>
      </c>
      <c r="E642" s="514" t="s">
        <v>234</v>
      </c>
      <c r="F642" s="546">
        <v>0.8</v>
      </c>
      <c r="G642" s="547">
        <v>4.83</v>
      </c>
      <c r="H642" s="548">
        <f>F642*G642</f>
        <v>3.8640000000000003</v>
      </c>
      <c r="I642" s="547"/>
      <c r="J642" s="549"/>
      <c r="K642" s="548"/>
      <c r="L642" s="547"/>
      <c r="M642" s="549"/>
      <c r="N642" s="550"/>
      <c r="O642" s="551"/>
    </row>
    <row r="643" spans="1:15" s="167" customFormat="1" ht="11.25" x14ac:dyDescent="0.2">
      <c r="A643" s="170"/>
      <c r="B643" s="129"/>
      <c r="C643" s="29"/>
      <c r="D643" s="117" t="s">
        <v>83</v>
      </c>
      <c r="E643" s="30"/>
      <c r="F643" s="118"/>
      <c r="G643" s="31"/>
      <c r="H643" s="104"/>
      <c r="I643" s="27"/>
      <c r="J643" s="105"/>
      <c r="K643" s="104"/>
      <c r="L643" s="27"/>
      <c r="M643" s="105"/>
      <c r="N643" s="92"/>
      <c r="O643" s="169"/>
    </row>
    <row r="644" spans="1:15" s="23" customFormat="1" ht="45" x14ac:dyDescent="0.2">
      <c r="A644" s="223" t="s">
        <v>78</v>
      </c>
      <c r="B644" s="224">
        <v>87259</v>
      </c>
      <c r="C644" s="225" t="s">
        <v>800</v>
      </c>
      <c r="D644" s="226" t="s">
        <v>356</v>
      </c>
      <c r="E644" s="225" t="s">
        <v>94</v>
      </c>
      <c r="F644" s="515">
        <f>'MEMÓRIA DE CÁLCULO'!K111</f>
        <v>146.51999999999998</v>
      </c>
      <c r="G644" s="228"/>
      <c r="H644" s="229">
        <f>ROUND(SUM(H645:H649),2)</f>
        <v>59.05</v>
      </c>
      <c r="I644" s="229">
        <f>ROUND(SUM(I645:I649),2)</f>
        <v>6.15</v>
      </c>
      <c r="J644" s="231">
        <f>(H644+I644)</f>
        <v>65.2</v>
      </c>
      <c r="K644" s="229">
        <f>F644*H644</f>
        <v>8652.0059999999994</v>
      </c>
      <c r="L644" s="230">
        <f>F644*I644</f>
        <v>901.09799999999996</v>
      </c>
      <c r="M644" s="231">
        <f>K644+L644</f>
        <v>9553.1039999999994</v>
      </c>
      <c r="N644" s="227">
        <f>M644*$N$7</f>
        <v>2586.9805631999998</v>
      </c>
      <c r="O644" s="227">
        <f>M644+N644</f>
        <v>12140.084563199998</v>
      </c>
    </row>
    <row r="645" spans="1:15" s="552" customFormat="1" ht="15" customHeight="1" x14ac:dyDescent="0.25">
      <c r="A645" s="543"/>
      <c r="B645" s="544" t="s">
        <v>715</v>
      </c>
      <c r="C645" s="513">
        <v>4760</v>
      </c>
      <c r="D645" s="545" t="s">
        <v>727</v>
      </c>
      <c r="E645" s="514" t="s">
        <v>42</v>
      </c>
      <c r="F645" s="546">
        <v>0.39</v>
      </c>
      <c r="G645" s="547">
        <v>11.43</v>
      </c>
      <c r="H645" s="548"/>
      <c r="I645" s="547">
        <f>F645*G645</f>
        <v>4.4577</v>
      </c>
      <c r="J645" s="549"/>
      <c r="K645" s="548"/>
      <c r="L645" s="547"/>
      <c r="M645" s="549"/>
      <c r="N645" s="550"/>
      <c r="O645" s="551"/>
    </row>
    <row r="646" spans="1:15" s="552" customFormat="1" ht="15" customHeight="1" x14ac:dyDescent="0.25">
      <c r="A646" s="543"/>
      <c r="B646" s="544" t="s">
        <v>658</v>
      </c>
      <c r="C646" s="513">
        <v>6111</v>
      </c>
      <c r="D646" s="545" t="s">
        <v>670</v>
      </c>
      <c r="E646" s="514" t="s">
        <v>42</v>
      </c>
      <c r="F646" s="546">
        <v>0.19</v>
      </c>
      <c r="G646" s="547">
        <v>8.92</v>
      </c>
      <c r="H646" s="548"/>
      <c r="I646" s="547">
        <f t="shared" ref="I646" si="85">F646*G646</f>
        <v>1.6948000000000001</v>
      </c>
      <c r="J646" s="549"/>
      <c r="K646" s="548"/>
      <c r="L646" s="547"/>
      <c r="M646" s="549"/>
      <c r="N646" s="550"/>
      <c r="O646" s="551"/>
    </row>
    <row r="647" spans="1:15" s="552" customFormat="1" ht="15" customHeight="1" x14ac:dyDescent="0.25">
      <c r="A647" s="543"/>
      <c r="B647" s="544" t="s">
        <v>657</v>
      </c>
      <c r="C647" s="513">
        <v>21108</v>
      </c>
      <c r="D647" s="545" t="s">
        <v>730</v>
      </c>
      <c r="E647" s="514" t="s">
        <v>233</v>
      </c>
      <c r="F647" s="546">
        <v>1.06</v>
      </c>
      <c r="G647" s="547">
        <v>45.99</v>
      </c>
      <c r="H647" s="548">
        <f t="shared" ref="H647" si="86">F647*G647</f>
        <v>48.749400000000001</v>
      </c>
      <c r="I647" s="547"/>
      <c r="J647" s="549"/>
      <c r="K647" s="548"/>
      <c r="L647" s="547"/>
      <c r="M647" s="549"/>
      <c r="N647" s="550"/>
      <c r="O647" s="551"/>
    </row>
    <row r="648" spans="1:15" s="552" customFormat="1" ht="15" customHeight="1" x14ac:dyDescent="0.25">
      <c r="A648" s="543"/>
      <c r="B648" s="544" t="s">
        <v>657</v>
      </c>
      <c r="C648" s="513">
        <v>34357</v>
      </c>
      <c r="D648" s="545" t="s">
        <v>728</v>
      </c>
      <c r="E648" s="514" t="s">
        <v>97</v>
      </c>
      <c r="F648" s="546">
        <v>0.24</v>
      </c>
      <c r="G648" s="547">
        <v>2.69</v>
      </c>
      <c r="H648" s="548">
        <f>F648*G648</f>
        <v>0.64559999999999995</v>
      </c>
      <c r="I648" s="547"/>
      <c r="J648" s="549"/>
      <c r="K648" s="548"/>
      <c r="L648" s="547"/>
      <c r="M648" s="549"/>
      <c r="N648" s="550"/>
      <c r="O648" s="551"/>
    </row>
    <row r="649" spans="1:15" s="552" customFormat="1" ht="15" customHeight="1" x14ac:dyDescent="0.25">
      <c r="A649" s="543"/>
      <c r="B649" s="544" t="s">
        <v>658</v>
      </c>
      <c r="C649" s="513">
        <v>37659</v>
      </c>
      <c r="D649" s="545" t="s">
        <v>729</v>
      </c>
      <c r="E649" s="514" t="s">
        <v>694</v>
      </c>
      <c r="F649" s="546">
        <v>8.6199999999999992</v>
      </c>
      <c r="G649" s="547">
        <v>1.1200000000000001</v>
      </c>
      <c r="H649" s="548">
        <f t="shared" ref="H649" si="87">F649*G649</f>
        <v>9.6544000000000008</v>
      </c>
      <c r="I649" s="547"/>
      <c r="J649" s="549"/>
      <c r="K649" s="548"/>
      <c r="L649" s="547"/>
      <c r="M649" s="549"/>
      <c r="N649" s="550"/>
      <c r="O649" s="551"/>
    </row>
    <row r="650" spans="1:15" s="23" customFormat="1" ht="14.25" x14ac:dyDescent="0.2">
      <c r="A650" s="134"/>
      <c r="B650" s="129"/>
      <c r="C650" s="29"/>
      <c r="D650" s="117" t="s">
        <v>83</v>
      </c>
      <c r="E650" s="30"/>
      <c r="F650" s="118"/>
      <c r="G650" s="31"/>
      <c r="H650" s="104"/>
      <c r="I650" s="27"/>
      <c r="J650" s="105"/>
      <c r="K650" s="104"/>
      <c r="L650" s="27"/>
      <c r="M650" s="105"/>
      <c r="N650" s="92"/>
      <c r="O650" s="92"/>
    </row>
    <row r="651" spans="1:15" s="23" customFormat="1" ht="22.5" x14ac:dyDescent="0.2">
      <c r="A651" s="223" t="s">
        <v>78</v>
      </c>
      <c r="B651" s="224">
        <v>87530</v>
      </c>
      <c r="C651" s="225" t="s">
        <v>1050</v>
      </c>
      <c r="D651" s="226" t="s">
        <v>1053</v>
      </c>
      <c r="E651" s="225" t="s">
        <v>94</v>
      </c>
      <c r="F651" s="473">
        <f>(2.1+2.1+0.8)*0.5*4</f>
        <v>10</v>
      </c>
      <c r="G651" s="474"/>
      <c r="H651" s="229">
        <f>ROUND(SUM(H652:H654),2)</f>
        <v>14.06</v>
      </c>
      <c r="I651" s="229">
        <f>ROUND(SUM(I652:I654),2)</f>
        <v>7.43</v>
      </c>
      <c r="J651" s="231">
        <f>(H651+I651)</f>
        <v>21.490000000000002</v>
      </c>
      <c r="K651" s="229">
        <f>F651*H651</f>
        <v>140.6</v>
      </c>
      <c r="L651" s="230">
        <f>F651*I651</f>
        <v>74.3</v>
      </c>
      <c r="M651" s="231">
        <f>K651+L651</f>
        <v>214.89999999999998</v>
      </c>
      <c r="N651" s="227">
        <f>M651*$N$7</f>
        <v>58.194919999999989</v>
      </c>
      <c r="O651" s="227">
        <f>M651+N651</f>
        <v>273.09491999999995</v>
      </c>
    </row>
    <row r="652" spans="1:15" s="552" customFormat="1" ht="21" customHeight="1" x14ac:dyDescent="0.25">
      <c r="A652" s="543"/>
      <c r="B652" s="544" t="s">
        <v>664</v>
      </c>
      <c r="C652" s="513">
        <v>87369</v>
      </c>
      <c r="D652" s="545" t="s">
        <v>791</v>
      </c>
      <c r="E652" s="514" t="s">
        <v>233</v>
      </c>
      <c r="F652" s="546">
        <v>3.7600000000000001E-2</v>
      </c>
      <c r="G652" s="547">
        <v>373.9</v>
      </c>
      <c r="H652" s="548">
        <f t="shared" ref="H652" si="88">F652*G652</f>
        <v>14.05864</v>
      </c>
      <c r="I652" s="547"/>
      <c r="J652" s="549"/>
      <c r="K652" s="548"/>
      <c r="L652" s="547"/>
      <c r="M652" s="549"/>
      <c r="N652" s="550"/>
      <c r="O652" s="551"/>
    </row>
    <row r="653" spans="1:15" s="552" customFormat="1" ht="15" customHeight="1" x14ac:dyDescent="0.25">
      <c r="A653" s="543"/>
      <c r="B653" s="544" t="s">
        <v>715</v>
      </c>
      <c r="C653" s="513">
        <v>4750</v>
      </c>
      <c r="D653" s="545" t="s">
        <v>714</v>
      </c>
      <c r="E653" s="514" t="s">
        <v>42</v>
      </c>
      <c r="F653" s="546">
        <v>0.47</v>
      </c>
      <c r="G653" s="547">
        <v>12.57</v>
      </c>
      <c r="H653" s="548"/>
      <c r="I653" s="547">
        <f>F653*G653</f>
        <v>5.9078999999999997</v>
      </c>
      <c r="J653" s="549"/>
      <c r="K653" s="548"/>
      <c r="L653" s="547"/>
      <c r="M653" s="549"/>
      <c r="N653" s="550"/>
      <c r="O653" s="551"/>
    </row>
    <row r="654" spans="1:15" s="552" customFormat="1" ht="15" customHeight="1" x14ac:dyDescent="0.25">
      <c r="A654" s="543"/>
      <c r="B654" s="544" t="s">
        <v>658</v>
      </c>
      <c r="C654" s="513">
        <v>6111</v>
      </c>
      <c r="D654" s="545" t="s">
        <v>670</v>
      </c>
      <c r="E654" s="514" t="s">
        <v>42</v>
      </c>
      <c r="F654" s="546">
        <v>0.17100000000000001</v>
      </c>
      <c r="G654" s="547">
        <v>8.92</v>
      </c>
      <c r="H654" s="548"/>
      <c r="I654" s="547">
        <f t="shared" ref="I654" si="89">F654*G654</f>
        <v>1.52532</v>
      </c>
      <c r="J654" s="549"/>
      <c r="K654" s="548"/>
      <c r="L654" s="547"/>
      <c r="M654" s="549"/>
      <c r="N654" s="550"/>
      <c r="O654" s="551"/>
    </row>
    <row r="655" spans="1:15" s="23" customFormat="1" ht="14.25" x14ac:dyDescent="0.2">
      <c r="A655" s="134"/>
      <c r="B655" s="129"/>
      <c r="C655" s="29"/>
      <c r="D655" s="117" t="s">
        <v>83</v>
      </c>
      <c r="E655" s="30"/>
      <c r="F655" s="476"/>
      <c r="G655" s="477"/>
      <c r="H655" s="478"/>
      <c r="I655" s="479"/>
      <c r="J655" s="480"/>
      <c r="K655" s="478"/>
      <c r="L655" s="479"/>
      <c r="M655" s="480"/>
      <c r="N655" s="92"/>
      <c r="O655" s="92"/>
    </row>
    <row r="656" spans="1:15" s="25" customFormat="1" x14ac:dyDescent="0.2">
      <c r="A656" s="129"/>
      <c r="B656" s="129"/>
      <c r="C656" s="29"/>
      <c r="D656" s="117" t="s">
        <v>83</v>
      </c>
      <c r="E656" s="30"/>
      <c r="F656" s="118"/>
      <c r="G656" s="31"/>
      <c r="H656" s="104"/>
      <c r="I656" s="27"/>
      <c r="J656" s="105"/>
      <c r="K656" s="104"/>
      <c r="L656" s="27"/>
      <c r="M656" s="105"/>
      <c r="N656" s="92"/>
      <c r="O656" s="92"/>
    </row>
    <row r="657" spans="1:15" s="266" customFormat="1" ht="12.75" x14ac:dyDescent="0.2">
      <c r="A657" s="516"/>
      <c r="B657" s="517"/>
      <c r="C657" s="518" t="s">
        <v>190</v>
      </c>
      <c r="D657" s="519" t="s">
        <v>327</v>
      </c>
      <c r="E657" s="520"/>
      <c r="F657" s="519"/>
      <c r="G657" s="520"/>
      <c r="H657" s="521"/>
      <c r="I657" s="522"/>
      <c r="J657" s="523"/>
      <c r="K657" s="521"/>
      <c r="L657" s="522"/>
      <c r="M657" s="523"/>
      <c r="N657" s="524"/>
      <c r="O657" s="525">
        <f>SUM(O659:O671)</f>
        <v>6870.4632863999996</v>
      </c>
    </row>
    <row r="658" spans="1:15" s="23" customFormat="1" ht="14.25" x14ac:dyDescent="0.2">
      <c r="A658" s="134"/>
      <c r="B658" s="129"/>
      <c r="C658" s="29"/>
      <c r="D658" s="117" t="s">
        <v>83</v>
      </c>
      <c r="E658" s="30"/>
      <c r="F658" s="118"/>
      <c r="G658" s="31"/>
      <c r="H658" s="104"/>
      <c r="I658" s="27"/>
      <c r="J658" s="105"/>
      <c r="K658" s="104"/>
      <c r="L658" s="27"/>
      <c r="M658" s="105"/>
      <c r="N658" s="92"/>
      <c r="O658" s="92"/>
    </row>
    <row r="659" spans="1:15" s="23" customFormat="1" ht="14.25" x14ac:dyDescent="0.2">
      <c r="A659" s="223" t="s">
        <v>79</v>
      </c>
      <c r="B659" s="224">
        <v>10006000009</v>
      </c>
      <c r="C659" s="225" t="s">
        <v>801</v>
      </c>
      <c r="D659" s="226" t="s">
        <v>1055</v>
      </c>
      <c r="E659" s="225" t="s">
        <v>27</v>
      </c>
      <c r="F659" s="515">
        <f>'MEMÓRIA DE CÁLCULO'!F111</f>
        <v>71.400000000000006</v>
      </c>
      <c r="G659" s="228"/>
      <c r="H659" s="229">
        <f>ROUND(SUM(H660:H663),2)</f>
        <v>8.2899999999999991</v>
      </c>
      <c r="I659" s="229">
        <f>ROUND(SUM(I660:I663),2)</f>
        <v>2.23</v>
      </c>
      <c r="J659" s="231">
        <f>(H659+I659)</f>
        <v>10.52</v>
      </c>
      <c r="K659" s="229">
        <f>F659*H659</f>
        <v>591.90599999999995</v>
      </c>
      <c r="L659" s="230">
        <f>F659*I659</f>
        <v>159.22200000000001</v>
      </c>
      <c r="M659" s="231">
        <f>K659+L659</f>
        <v>751.12799999999993</v>
      </c>
      <c r="N659" s="227">
        <f>M659*$N$7</f>
        <v>203.40546239999998</v>
      </c>
      <c r="O659" s="227">
        <f>M659+N659</f>
        <v>954.53346239999996</v>
      </c>
    </row>
    <row r="660" spans="1:15" s="552" customFormat="1" ht="15" customHeight="1" x14ac:dyDescent="0.25">
      <c r="A660" s="543"/>
      <c r="B660" s="544" t="s">
        <v>658</v>
      </c>
      <c r="C660" s="513">
        <v>6111</v>
      </c>
      <c r="D660" s="545" t="s">
        <v>670</v>
      </c>
      <c r="E660" s="514" t="s">
        <v>42</v>
      </c>
      <c r="F660" s="546">
        <v>0.25</v>
      </c>
      <c r="G660" s="547">
        <v>8.92</v>
      </c>
      <c r="H660" s="548"/>
      <c r="I660" s="547">
        <f t="shared" ref="I660" si="90">F660*G660</f>
        <v>2.23</v>
      </c>
      <c r="J660" s="549"/>
      <c r="K660" s="548"/>
      <c r="L660" s="547"/>
      <c r="M660" s="549"/>
      <c r="N660" s="550"/>
      <c r="O660" s="551"/>
    </row>
    <row r="661" spans="1:15" s="552" customFormat="1" ht="15" customHeight="1" x14ac:dyDescent="0.25">
      <c r="A661" s="543"/>
      <c r="B661" s="544"/>
      <c r="C661" s="513"/>
      <c r="D661" s="545" t="s">
        <v>761</v>
      </c>
      <c r="E661" s="514" t="s">
        <v>233</v>
      </c>
      <c r="F661" s="546">
        <v>2.2440000000000002E-2</v>
      </c>
      <c r="G661" s="547">
        <v>54.27</v>
      </c>
      <c r="H661" s="548">
        <f>F661*G661</f>
        <v>1.2178188000000001</v>
      </c>
      <c r="I661" s="547"/>
      <c r="J661" s="549"/>
      <c r="K661" s="548"/>
      <c r="L661" s="547"/>
      <c r="M661" s="549"/>
      <c r="N661" s="550"/>
      <c r="O661" s="551"/>
    </row>
    <row r="662" spans="1:15" s="552" customFormat="1" ht="15" customHeight="1" x14ac:dyDescent="0.25">
      <c r="A662" s="543"/>
      <c r="B662" s="544"/>
      <c r="C662" s="513"/>
      <c r="D662" s="545" t="s">
        <v>762</v>
      </c>
      <c r="E662" s="514" t="s">
        <v>48</v>
      </c>
      <c r="F662" s="546">
        <v>7.3</v>
      </c>
      <c r="G662" s="547">
        <v>0.44</v>
      </c>
      <c r="H662" s="548">
        <f>F662*G662</f>
        <v>3.2119999999999997</v>
      </c>
      <c r="I662" s="547"/>
      <c r="J662" s="549"/>
      <c r="K662" s="548"/>
      <c r="L662" s="547"/>
      <c r="M662" s="549"/>
      <c r="N662" s="550"/>
      <c r="O662" s="551"/>
    </row>
    <row r="663" spans="1:15" s="552" customFormat="1" ht="15" customHeight="1" x14ac:dyDescent="0.25">
      <c r="A663" s="543"/>
      <c r="B663" s="544"/>
      <c r="C663" s="513"/>
      <c r="D663" s="545" t="s">
        <v>763</v>
      </c>
      <c r="E663" s="514" t="s">
        <v>234</v>
      </c>
      <c r="F663" s="546">
        <v>0.8</v>
      </c>
      <c r="G663" s="547">
        <v>4.83</v>
      </c>
      <c r="H663" s="548">
        <f>F663*G663</f>
        <v>3.8640000000000003</v>
      </c>
      <c r="I663" s="547"/>
      <c r="J663" s="549"/>
      <c r="K663" s="548"/>
      <c r="L663" s="547"/>
      <c r="M663" s="549"/>
      <c r="N663" s="550"/>
      <c r="O663" s="551"/>
    </row>
    <row r="664" spans="1:15" s="167" customFormat="1" ht="11.25" x14ac:dyDescent="0.2">
      <c r="A664" s="170"/>
      <c r="B664" s="129"/>
      <c r="C664" s="29"/>
      <c r="D664" s="117" t="s">
        <v>83</v>
      </c>
      <c r="E664" s="30"/>
      <c r="F664" s="118"/>
      <c r="G664" s="31"/>
      <c r="H664" s="104"/>
      <c r="I664" s="27"/>
      <c r="J664" s="105"/>
      <c r="K664" s="104"/>
      <c r="L664" s="27"/>
      <c r="M664" s="105"/>
      <c r="N664" s="92"/>
      <c r="O664" s="169"/>
    </row>
    <row r="665" spans="1:15" s="23" customFormat="1" ht="45" x14ac:dyDescent="0.2">
      <c r="A665" s="223" t="s">
        <v>78</v>
      </c>
      <c r="B665" s="224">
        <v>87259</v>
      </c>
      <c r="C665" s="225" t="s">
        <v>802</v>
      </c>
      <c r="D665" s="226" t="s">
        <v>356</v>
      </c>
      <c r="E665" s="225" t="s">
        <v>58</v>
      </c>
      <c r="F665" s="515">
        <f>'MEMÓRIA DE CÁLCULO'!H111</f>
        <v>71.400000000000006</v>
      </c>
      <c r="G665" s="228"/>
      <c r="H665" s="229">
        <f>ROUND(SUM(H666:H670),2)</f>
        <v>59.05</v>
      </c>
      <c r="I665" s="229">
        <f>ROUND(SUM(I666:I670),2)</f>
        <v>6.15</v>
      </c>
      <c r="J665" s="231">
        <f>(H665+I665)</f>
        <v>65.2</v>
      </c>
      <c r="K665" s="229">
        <f>F665*H665</f>
        <v>4216.17</v>
      </c>
      <c r="L665" s="230">
        <f>F665*I665</f>
        <v>439.11000000000007</v>
      </c>
      <c r="M665" s="231">
        <f>K665+L665</f>
        <v>4655.28</v>
      </c>
      <c r="N665" s="227">
        <f>M665*$N$7</f>
        <v>1260.6498239999999</v>
      </c>
      <c r="O665" s="227">
        <f>M665+N665</f>
        <v>5915.9298239999998</v>
      </c>
    </row>
    <row r="666" spans="1:15" s="552" customFormat="1" ht="15" customHeight="1" x14ac:dyDescent="0.25">
      <c r="A666" s="543"/>
      <c r="B666" s="544" t="s">
        <v>715</v>
      </c>
      <c r="C666" s="513">
        <v>4760</v>
      </c>
      <c r="D666" s="545" t="s">
        <v>727</v>
      </c>
      <c r="E666" s="514" t="s">
        <v>42</v>
      </c>
      <c r="F666" s="546">
        <v>0.39</v>
      </c>
      <c r="G666" s="547">
        <v>11.43</v>
      </c>
      <c r="H666" s="548"/>
      <c r="I666" s="547">
        <f>F666*G666</f>
        <v>4.4577</v>
      </c>
      <c r="J666" s="549"/>
      <c r="K666" s="548"/>
      <c r="L666" s="547"/>
      <c r="M666" s="549"/>
      <c r="N666" s="550"/>
      <c r="O666" s="551"/>
    </row>
    <row r="667" spans="1:15" s="552" customFormat="1" ht="15" customHeight="1" x14ac:dyDescent="0.25">
      <c r="A667" s="543"/>
      <c r="B667" s="544" t="s">
        <v>658</v>
      </c>
      <c r="C667" s="513">
        <v>6111</v>
      </c>
      <c r="D667" s="545" t="s">
        <v>670</v>
      </c>
      <c r="E667" s="514" t="s">
        <v>42</v>
      </c>
      <c r="F667" s="546">
        <v>0.19</v>
      </c>
      <c r="G667" s="547">
        <v>8.92</v>
      </c>
      <c r="H667" s="548"/>
      <c r="I667" s="547">
        <f t="shared" ref="I667" si="91">F667*G667</f>
        <v>1.6948000000000001</v>
      </c>
      <c r="J667" s="549"/>
      <c r="K667" s="548"/>
      <c r="L667" s="547"/>
      <c r="M667" s="549"/>
      <c r="N667" s="550"/>
      <c r="O667" s="551"/>
    </row>
    <row r="668" spans="1:15" s="552" customFormat="1" ht="15" customHeight="1" x14ac:dyDescent="0.25">
      <c r="A668" s="543"/>
      <c r="B668" s="544" t="s">
        <v>657</v>
      </c>
      <c r="C668" s="513">
        <v>21108</v>
      </c>
      <c r="D668" s="545" t="s">
        <v>730</v>
      </c>
      <c r="E668" s="514" t="s">
        <v>233</v>
      </c>
      <c r="F668" s="546">
        <v>1.06</v>
      </c>
      <c r="G668" s="547">
        <v>45.99</v>
      </c>
      <c r="H668" s="548">
        <f t="shared" ref="H668" si="92">F668*G668</f>
        <v>48.749400000000001</v>
      </c>
      <c r="I668" s="547"/>
      <c r="J668" s="549"/>
      <c r="K668" s="548"/>
      <c r="L668" s="547"/>
      <c r="M668" s="549"/>
      <c r="N668" s="550"/>
      <c r="O668" s="551"/>
    </row>
    <row r="669" spans="1:15" s="552" customFormat="1" ht="15" customHeight="1" x14ac:dyDescent="0.25">
      <c r="A669" s="543"/>
      <c r="B669" s="544" t="s">
        <v>657</v>
      </c>
      <c r="C669" s="513">
        <v>34357</v>
      </c>
      <c r="D669" s="545" t="s">
        <v>728</v>
      </c>
      <c r="E669" s="514" t="s">
        <v>97</v>
      </c>
      <c r="F669" s="546">
        <v>0.24</v>
      </c>
      <c r="G669" s="547">
        <v>2.69</v>
      </c>
      <c r="H669" s="548">
        <f>F669*G669</f>
        <v>0.64559999999999995</v>
      </c>
      <c r="I669" s="547"/>
      <c r="J669" s="549"/>
      <c r="K669" s="548"/>
      <c r="L669" s="547"/>
      <c r="M669" s="549"/>
      <c r="N669" s="550"/>
      <c r="O669" s="551"/>
    </row>
    <row r="670" spans="1:15" s="552" customFormat="1" ht="15" customHeight="1" x14ac:dyDescent="0.25">
      <c r="A670" s="543"/>
      <c r="B670" s="544" t="s">
        <v>658</v>
      </c>
      <c r="C670" s="513">
        <v>37659</v>
      </c>
      <c r="D670" s="545" t="s">
        <v>729</v>
      </c>
      <c r="E670" s="514" t="s">
        <v>694</v>
      </c>
      <c r="F670" s="546">
        <v>8.6199999999999992</v>
      </c>
      <c r="G670" s="547">
        <v>1.1200000000000001</v>
      </c>
      <c r="H670" s="548">
        <f t="shared" ref="H670" si="93">F670*G670</f>
        <v>9.6544000000000008</v>
      </c>
      <c r="I670" s="547"/>
      <c r="J670" s="549"/>
      <c r="K670" s="548"/>
      <c r="L670" s="547"/>
      <c r="M670" s="549"/>
      <c r="N670" s="550"/>
      <c r="O670" s="551"/>
    </row>
    <row r="671" spans="1:15" s="23" customFormat="1" ht="14.25" x14ac:dyDescent="0.2">
      <c r="A671" s="134"/>
      <c r="B671" s="129"/>
      <c r="C671" s="29"/>
      <c r="D671" s="117" t="s">
        <v>83</v>
      </c>
      <c r="E671" s="30"/>
      <c r="F671" s="118"/>
      <c r="G671" s="31"/>
      <c r="H671" s="104"/>
      <c r="I671" s="27"/>
      <c r="J671" s="105"/>
      <c r="K671" s="104"/>
      <c r="L671" s="27"/>
      <c r="M671" s="105"/>
      <c r="N671" s="92"/>
      <c r="O671" s="92"/>
    </row>
    <row r="672" spans="1:15" s="266" customFormat="1" ht="12.75" x14ac:dyDescent="0.2">
      <c r="A672" s="516"/>
      <c r="B672" s="517"/>
      <c r="C672" s="518" t="s">
        <v>191</v>
      </c>
      <c r="D672" s="519" t="s">
        <v>170</v>
      </c>
      <c r="E672" s="520"/>
      <c r="F672" s="519"/>
      <c r="G672" s="520"/>
      <c r="H672" s="521"/>
      <c r="I672" s="522"/>
      <c r="J672" s="523"/>
      <c r="K672" s="521"/>
      <c r="L672" s="522"/>
      <c r="M672" s="523"/>
      <c r="N672" s="524"/>
      <c r="O672" s="525">
        <f>SUM(O674:O681)</f>
        <v>1127.377512</v>
      </c>
    </row>
    <row r="673" spans="1:15" s="23" customFormat="1" ht="14.25" x14ac:dyDescent="0.2">
      <c r="A673" s="134"/>
      <c r="B673" s="129"/>
      <c r="C673" s="29"/>
      <c r="D673" s="117" t="s">
        <v>83</v>
      </c>
      <c r="E673" s="30"/>
      <c r="F673" s="118"/>
      <c r="G673" s="31"/>
      <c r="H673" s="110"/>
      <c r="I673" s="31"/>
      <c r="J673" s="111"/>
      <c r="K673" s="110"/>
      <c r="L673" s="31"/>
      <c r="M673" s="111"/>
      <c r="N673" s="92"/>
      <c r="O673" s="92"/>
    </row>
    <row r="674" spans="1:15" s="23" customFormat="1" ht="33.75" x14ac:dyDescent="0.2">
      <c r="A674" s="223" t="s">
        <v>79</v>
      </c>
      <c r="B674" s="224" t="s">
        <v>235</v>
      </c>
      <c r="C674" s="225" t="s">
        <v>373</v>
      </c>
      <c r="D674" s="226" t="s">
        <v>197</v>
      </c>
      <c r="E674" s="225" t="s">
        <v>98</v>
      </c>
      <c r="F674" s="515">
        <f>'MEMÓRIA DE CÁLCULO'!J111</f>
        <v>43.8</v>
      </c>
      <c r="G674" s="228"/>
      <c r="H674" s="229">
        <f>ROUND(SUM(H675:H676),2)</f>
        <v>11.94</v>
      </c>
      <c r="I674" s="230">
        <f>ROUND(SUM(I675:I676),2)</f>
        <v>2.48</v>
      </c>
      <c r="J674" s="231">
        <f>(H674+I674)</f>
        <v>14.42</v>
      </c>
      <c r="K674" s="229">
        <f>F674*H674</f>
        <v>522.97199999999998</v>
      </c>
      <c r="L674" s="230">
        <f>F674*I674</f>
        <v>108.624</v>
      </c>
      <c r="M674" s="231">
        <f>K674+L674</f>
        <v>631.596</v>
      </c>
      <c r="N674" s="227">
        <f>M674*$N$7</f>
        <v>171.0361968</v>
      </c>
      <c r="O674" s="227">
        <f>M674+N674</f>
        <v>802.63219679999997</v>
      </c>
    </row>
    <row r="675" spans="1:15" s="552" customFormat="1" ht="15" customHeight="1" x14ac:dyDescent="0.25">
      <c r="A675" s="543"/>
      <c r="B675" s="544" t="s">
        <v>715</v>
      </c>
      <c r="C675" s="513">
        <v>1214</v>
      </c>
      <c r="D675" s="545" t="s">
        <v>713</v>
      </c>
      <c r="E675" s="514" t="s">
        <v>42</v>
      </c>
      <c r="F675" s="546">
        <v>0.2</v>
      </c>
      <c r="G675" s="547">
        <v>12.39</v>
      </c>
      <c r="H675" s="548"/>
      <c r="I675" s="547">
        <f>F675*G675</f>
        <v>2.4780000000000002</v>
      </c>
      <c r="J675" s="549"/>
      <c r="K675" s="548"/>
      <c r="L675" s="547"/>
      <c r="M675" s="549"/>
      <c r="N675" s="550"/>
      <c r="O675" s="551"/>
    </row>
    <row r="676" spans="1:15" s="552" customFormat="1" ht="15" customHeight="1" x14ac:dyDescent="0.25">
      <c r="A676" s="543"/>
      <c r="B676" s="544"/>
      <c r="C676" s="513"/>
      <c r="D676" s="545" t="s">
        <v>8</v>
      </c>
      <c r="E676" s="514" t="s">
        <v>98</v>
      </c>
      <c r="F676" s="546">
        <v>1.1499999999999999</v>
      </c>
      <c r="G676" s="547">
        <v>10.38</v>
      </c>
      <c r="H676" s="548">
        <f>F676*G676</f>
        <v>11.936999999999999</v>
      </c>
      <c r="I676" s="547"/>
      <c r="J676" s="549"/>
      <c r="K676" s="548"/>
      <c r="L676" s="547"/>
      <c r="M676" s="549"/>
      <c r="N676" s="550"/>
      <c r="O676" s="551"/>
    </row>
    <row r="677" spans="1:15" s="23" customFormat="1" ht="14.25" x14ac:dyDescent="0.2">
      <c r="A677" s="134"/>
      <c r="B677" s="129"/>
      <c r="C677" s="29"/>
      <c r="D677" s="117" t="s">
        <v>83</v>
      </c>
      <c r="E677" s="30"/>
      <c r="F677" s="118"/>
      <c r="G677" s="31"/>
      <c r="H677" s="110"/>
      <c r="I677" s="31"/>
      <c r="J677" s="111"/>
      <c r="K677" s="110"/>
      <c r="L677" s="31"/>
      <c r="M677" s="111"/>
      <c r="N677" s="94"/>
      <c r="O677" s="94"/>
    </row>
    <row r="678" spans="1:15" s="23" customFormat="1" ht="33.75" x14ac:dyDescent="0.2">
      <c r="A678" s="223" t="s">
        <v>79</v>
      </c>
      <c r="B678" s="224" t="s">
        <v>31</v>
      </c>
      <c r="C678" s="225" t="s">
        <v>374</v>
      </c>
      <c r="D678" s="226" t="s">
        <v>299</v>
      </c>
      <c r="E678" s="225" t="s">
        <v>98</v>
      </c>
      <c r="F678" s="515">
        <f>'MEMÓRIA DE CÁLCULO'!F133</f>
        <v>3.4</v>
      </c>
      <c r="G678" s="228"/>
      <c r="H678" s="229">
        <f>ROUND(SUM(H679:H680),2)</f>
        <v>74.44</v>
      </c>
      <c r="I678" s="230">
        <f>ROUND(SUM(I679:I681),2)</f>
        <v>0.72</v>
      </c>
      <c r="J678" s="231">
        <f>(H678+I678)</f>
        <v>75.16</v>
      </c>
      <c r="K678" s="229">
        <f>F678*H678</f>
        <v>253.09599999999998</v>
      </c>
      <c r="L678" s="230">
        <f>F678*I678</f>
        <v>2.448</v>
      </c>
      <c r="M678" s="231">
        <f>K678+L678</f>
        <v>255.54399999999998</v>
      </c>
      <c r="N678" s="227">
        <f>M678*$N$7</f>
        <v>69.201315199999996</v>
      </c>
      <c r="O678" s="227">
        <f>M678+N678</f>
        <v>324.74531519999999</v>
      </c>
    </row>
    <row r="679" spans="1:15" s="552" customFormat="1" ht="20.25" customHeight="1" x14ac:dyDescent="0.25">
      <c r="A679" s="543"/>
      <c r="B679" s="544"/>
      <c r="C679" s="513"/>
      <c r="D679" s="545" t="str">
        <f>D678</f>
        <v>Soleira de granito natural,  cinza andorinha ou similar  - na largura da parede, assentado com argamassa mista de cimento, cal hidratada e areia sem peneirar traço 1:1:4 - PORTAS EXTERNAS</v>
      </c>
      <c r="E679" s="514" t="s">
        <v>98</v>
      </c>
      <c r="F679" s="546">
        <v>1</v>
      </c>
      <c r="G679" s="547">
        <v>72.790000000000006</v>
      </c>
      <c r="H679" s="548">
        <f>F679*G679</f>
        <v>72.790000000000006</v>
      </c>
      <c r="I679" s="547"/>
      <c r="J679" s="549"/>
      <c r="K679" s="548"/>
      <c r="L679" s="547"/>
      <c r="M679" s="549"/>
      <c r="N679" s="550"/>
      <c r="O679" s="551"/>
    </row>
    <row r="680" spans="1:15" s="552" customFormat="1" ht="18.75" customHeight="1" x14ac:dyDescent="0.25">
      <c r="A680" s="543"/>
      <c r="B680" s="544"/>
      <c r="C680" s="513"/>
      <c r="D680" s="545" t="s">
        <v>29</v>
      </c>
      <c r="E680" s="514" t="s">
        <v>97</v>
      </c>
      <c r="F680" s="546">
        <v>6.2500000000000003E-3</v>
      </c>
      <c r="G680" s="547">
        <v>378.2</v>
      </c>
      <c r="H680" s="548">
        <f>F680*G680*0.7</f>
        <v>1.654625</v>
      </c>
      <c r="I680" s="547">
        <f>1.01*F680*G680*0.3</f>
        <v>0.71621625</v>
      </c>
      <c r="J680" s="549"/>
      <c r="K680" s="548"/>
      <c r="L680" s="547"/>
      <c r="M680" s="549"/>
      <c r="N680" s="550"/>
      <c r="O680" s="551"/>
    </row>
    <row r="681" spans="1:15" s="23" customFormat="1" ht="14.25" x14ac:dyDescent="0.2">
      <c r="A681" s="134"/>
      <c r="B681" s="129"/>
      <c r="C681" s="29"/>
      <c r="D681" s="117" t="s">
        <v>83</v>
      </c>
      <c r="E681" s="30"/>
      <c r="F681" s="118"/>
      <c r="G681" s="31"/>
      <c r="H681" s="110"/>
      <c r="I681" s="31"/>
      <c r="J681" s="111"/>
      <c r="K681" s="110"/>
      <c r="L681" s="31"/>
      <c r="M681" s="111"/>
      <c r="N681" s="92"/>
      <c r="O681" s="92"/>
    </row>
    <row r="682" spans="1:15" s="266" customFormat="1" ht="12.75" x14ac:dyDescent="0.2">
      <c r="A682" s="516"/>
      <c r="B682" s="517"/>
      <c r="C682" s="518" t="s">
        <v>192</v>
      </c>
      <c r="D682" s="519" t="s">
        <v>85</v>
      </c>
      <c r="E682" s="520"/>
      <c r="F682" s="519"/>
      <c r="G682" s="520"/>
      <c r="H682" s="521"/>
      <c r="I682" s="522"/>
      <c r="J682" s="523"/>
      <c r="K682" s="521"/>
      <c r="L682" s="522"/>
      <c r="M682" s="523"/>
      <c r="N682" s="524"/>
      <c r="O682" s="525">
        <f>SUM(O686:O849)</f>
        <v>13311.317383200001</v>
      </c>
    </row>
    <row r="683" spans="1:15" s="23" customFormat="1" ht="14.25" x14ac:dyDescent="0.2">
      <c r="A683" s="134"/>
      <c r="B683" s="130"/>
      <c r="C683" s="34"/>
      <c r="D683" s="117" t="s">
        <v>83</v>
      </c>
      <c r="E683" s="30"/>
      <c r="F683" s="30"/>
      <c r="G683" s="31"/>
      <c r="H683" s="104"/>
      <c r="I683" s="27"/>
      <c r="J683" s="105"/>
      <c r="K683" s="31"/>
      <c r="L683" s="31"/>
      <c r="M683" s="111"/>
      <c r="N683" s="92"/>
      <c r="O683" s="92"/>
    </row>
    <row r="684" spans="1:15" s="172" customFormat="1" ht="11.25" x14ac:dyDescent="0.2">
      <c r="A684" s="170"/>
      <c r="B684" s="120"/>
      <c r="C684" s="122"/>
      <c r="D684" s="124" t="s">
        <v>528</v>
      </c>
      <c r="E684" s="122"/>
      <c r="F684" s="90"/>
      <c r="G684" s="116"/>
      <c r="H684" s="102"/>
      <c r="I684" s="35"/>
      <c r="J684" s="103"/>
      <c r="K684" s="102"/>
      <c r="L684" s="35"/>
      <c r="M684" s="103"/>
      <c r="N684" s="90"/>
      <c r="O684" s="171"/>
    </row>
    <row r="685" spans="1:15" s="23" customFormat="1" ht="14.25" x14ac:dyDescent="0.2">
      <c r="A685" s="134"/>
      <c r="B685" s="130"/>
      <c r="C685" s="34"/>
      <c r="D685" s="117" t="s">
        <v>83</v>
      </c>
      <c r="E685" s="30"/>
      <c r="F685" s="30"/>
      <c r="G685" s="31"/>
      <c r="H685" s="104"/>
      <c r="I685" s="27"/>
      <c r="J685" s="105"/>
      <c r="K685" s="31"/>
      <c r="L685" s="31"/>
      <c r="M685" s="111"/>
      <c r="N685" s="92"/>
      <c r="O685" s="92"/>
    </row>
    <row r="686" spans="1:15" s="23" customFormat="1" ht="14.25" x14ac:dyDescent="0.2">
      <c r="A686" s="223" t="s">
        <v>39</v>
      </c>
      <c r="B686" s="224" t="s">
        <v>148</v>
      </c>
      <c r="C686" s="225" t="s">
        <v>803</v>
      </c>
      <c r="D686" s="226" t="s">
        <v>198</v>
      </c>
      <c r="E686" s="225" t="s">
        <v>41</v>
      </c>
      <c r="F686" s="515">
        <v>2</v>
      </c>
      <c r="G686" s="228"/>
      <c r="H686" s="229">
        <f>ROUND(SUM(H687:H692),2)</f>
        <v>29.91</v>
      </c>
      <c r="I686" s="230">
        <f>ROUND(SUM(I687:I692),2)</f>
        <v>66.06</v>
      </c>
      <c r="J686" s="231">
        <f>(H686+I686)</f>
        <v>95.97</v>
      </c>
      <c r="K686" s="229">
        <f>F686*H686</f>
        <v>59.82</v>
      </c>
      <c r="L686" s="230">
        <f>F686*I686</f>
        <v>132.12</v>
      </c>
      <c r="M686" s="231">
        <f>K686+L686</f>
        <v>191.94</v>
      </c>
      <c r="N686" s="227">
        <f>M686*$N$7</f>
        <v>51.977351999999996</v>
      </c>
      <c r="O686" s="227">
        <f>M686+N686</f>
        <v>243.91735199999999</v>
      </c>
    </row>
    <row r="687" spans="1:15" s="552" customFormat="1" ht="18.75" customHeight="1" x14ac:dyDescent="0.25">
      <c r="A687" s="543"/>
      <c r="B687" s="544"/>
      <c r="C687" s="513">
        <v>246</v>
      </c>
      <c r="D687" s="545" t="s">
        <v>764</v>
      </c>
      <c r="E687" s="514" t="s">
        <v>42</v>
      </c>
      <c r="F687" s="546">
        <v>3</v>
      </c>
      <c r="G687" s="547">
        <v>9.4499999999999993</v>
      </c>
      <c r="H687" s="548"/>
      <c r="I687" s="547">
        <f>F687*G687</f>
        <v>28.349999999999998</v>
      </c>
      <c r="J687" s="549"/>
      <c r="K687" s="548"/>
      <c r="L687" s="547"/>
      <c r="M687" s="549"/>
      <c r="N687" s="550"/>
      <c r="O687" s="551"/>
    </row>
    <row r="688" spans="1:15" s="552" customFormat="1" ht="18.75" customHeight="1" x14ac:dyDescent="0.25">
      <c r="A688" s="543"/>
      <c r="B688" s="544"/>
      <c r="C688" s="513">
        <v>2696</v>
      </c>
      <c r="D688" s="545" t="s">
        <v>765</v>
      </c>
      <c r="E688" s="514" t="s">
        <v>42</v>
      </c>
      <c r="F688" s="546">
        <v>3</v>
      </c>
      <c r="G688" s="547">
        <v>12.57</v>
      </c>
      <c r="H688" s="548"/>
      <c r="I688" s="547">
        <f>F688*G688</f>
        <v>37.71</v>
      </c>
      <c r="J688" s="549"/>
      <c r="K688" s="548"/>
      <c r="L688" s="547"/>
      <c r="M688" s="549"/>
      <c r="N688" s="550"/>
      <c r="O688" s="551"/>
    </row>
    <row r="689" spans="1:15" s="552" customFormat="1" ht="18.75" customHeight="1" x14ac:dyDescent="0.25">
      <c r="A689" s="543"/>
      <c r="B689" s="544"/>
      <c r="C689" s="513"/>
      <c r="D689" s="545" t="s">
        <v>149</v>
      </c>
      <c r="E689" s="514" t="s">
        <v>56</v>
      </c>
      <c r="F689" s="546">
        <v>8</v>
      </c>
      <c r="G689" s="547">
        <v>1.9</v>
      </c>
      <c r="H689" s="548">
        <f>F689*G689</f>
        <v>15.2</v>
      </c>
      <c r="I689" s="547"/>
      <c r="J689" s="549"/>
      <c r="K689" s="548"/>
      <c r="L689" s="547"/>
      <c r="M689" s="549"/>
      <c r="N689" s="550"/>
      <c r="O689" s="551"/>
    </row>
    <row r="690" spans="1:15" s="552" customFormat="1" ht="18.75" customHeight="1" x14ac:dyDescent="0.25">
      <c r="A690" s="543"/>
      <c r="B690" s="544"/>
      <c r="C690" s="513"/>
      <c r="D690" s="545" t="s">
        <v>150</v>
      </c>
      <c r="E690" s="514" t="s">
        <v>41</v>
      </c>
      <c r="F690" s="546">
        <v>1</v>
      </c>
      <c r="G690" s="547">
        <v>2.0099999999999998</v>
      </c>
      <c r="H690" s="548">
        <f>F690*G690</f>
        <v>2.0099999999999998</v>
      </c>
      <c r="I690" s="547"/>
      <c r="J690" s="549"/>
      <c r="K690" s="548"/>
      <c r="L690" s="547"/>
      <c r="M690" s="549"/>
      <c r="N690" s="550"/>
      <c r="O690" s="551"/>
    </row>
    <row r="691" spans="1:15" s="552" customFormat="1" ht="18.75" customHeight="1" x14ac:dyDescent="0.25">
      <c r="A691" s="543"/>
      <c r="B691" s="544"/>
      <c r="C691" s="513"/>
      <c r="D691" s="545" t="s">
        <v>151</v>
      </c>
      <c r="E691" s="514" t="s">
        <v>41</v>
      </c>
      <c r="F691" s="546">
        <v>3</v>
      </c>
      <c r="G691" s="547">
        <v>1.58</v>
      </c>
      <c r="H691" s="548">
        <f>F691*G691</f>
        <v>4.74</v>
      </c>
      <c r="I691" s="547"/>
      <c r="J691" s="549"/>
      <c r="K691" s="548"/>
      <c r="L691" s="547"/>
      <c r="M691" s="549"/>
      <c r="N691" s="550"/>
      <c r="O691" s="551"/>
    </row>
    <row r="692" spans="1:15" s="552" customFormat="1" ht="18.75" customHeight="1" x14ac:dyDescent="0.25">
      <c r="A692" s="543"/>
      <c r="B692" s="544"/>
      <c r="C692" s="513"/>
      <c r="D692" s="545" t="s">
        <v>152</v>
      </c>
      <c r="E692" s="514" t="s">
        <v>41</v>
      </c>
      <c r="F692" s="546">
        <v>1</v>
      </c>
      <c r="G692" s="547">
        <v>7.96</v>
      </c>
      <c r="H692" s="548">
        <f>F692*G692</f>
        <v>7.96</v>
      </c>
      <c r="I692" s="547"/>
      <c r="J692" s="549"/>
      <c r="K692" s="548"/>
      <c r="L692" s="547"/>
      <c r="M692" s="549"/>
      <c r="N692" s="550"/>
      <c r="O692" s="551"/>
    </row>
    <row r="693" spans="1:15" s="552" customFormat="1" ht="18.75" customHeight="1" x14ac:dyDescent="0.25">
      <c r="A693" s="543"/>
      <c r="B693" s="544"/>
      <c r="C693" s="513"/>
      <c r="D693" s="545"/>
      <c r="E693" s="514"/>
      <c r="F693" s="546"/>
      <c r="G693" s="547"/>
      <c r="H693" s="548"/>
      <c r="I693" s="547"/>
      <c r="J693" s="549"/>
      <c r="K693" s="548"/>
      <c r="L693" s="547"/>
      <c r="M693" s="549"/>
      <c r="N693" s="550"/>
      <c r="O693" s="551"/>
    </row>
    <row r="694" spans="1:15" s="172" customFormat="1" ht="11.25" x14ac:dyDescent="0.2">
      <c r="A694" s="170"/>
      <c r="B694" s="120"/>
      <c r="C694" s="122"/>
      <c r="D694" s="124" t="s">
        <v>147</v>
      </c>
      <c r="E694" s="122"/>
      <c r="F694" s="90"/>
      <c r="G694" s="116"/>
      <c r="H694" s="102"/>
      <c r="I694" s="35"/>
      <c r="J694" s="103"/>
      <c r="K694" s="102"/>
      <c r="L694" s="35"/>
      <c r="M694" s="103"/>
      <c r="N694" s="90"/>
      <c r="O694" s="171"/>
    </row>
    <row r="695" spans="1:15" s="172" customFormat="1" ht="11.25" x14ac:dyDescent="0.2">
      <c r="A695" s="170"/>
      <c r="B695" s="120"/>
      <c r="C695" s="122"/>
      <c r="D695" s="124"/>
      <c r="E695" s="122"/>
      <c r="F695" s="90"/>
      <c r="G695" s="116"/>
      <c r="H695" s="102"/>
      <c r="I695" s="141"/>
      <c r="J695" s="103"/>
      <c r="K695" s="102"/>
      <c r="L695" s="35"/>
      <c r="M695" s="103"/>
      <c r="N695" s="90"/>
      <c r="O695" s="171"/>
    </row>
    <row r="696" spans="1:15" s="23" customFormat="1" ht="14.25" x14ac:dyDescent="0.2">
      <c r="A696" s="223" t="s">
        <v>39</v>
      </c>
      <c r="B696" s="224" t="s">
        <v>148</v>
      </c>
      <c r="C696" s="225" t="s">
        <v>375</v>
      </c>
      <c r="D696" s="226" t="s">
        <v>198</v>
      </c>
      <c r="E696" s="225" t="s">
        <v>41</v>
      </c>
      <c r="F696" s="515">
        <f>'MEMÓRIA DE CÁLCULO'!O111</f>
        <v>12</v>
      </c>
      <c r="G696" s="228"/>
      <c r="H696" s="229">
        <f>ROUND(SUM(H697:H702),2)</f>
        <v>29.91</v>
      </c>
      <c r="I696" s="230">
        <f>ROUND(SUM(I697:I702),2)</f>
        <v>66.06</v>
      </c>
      <c r="J696" s="231">
        <f>(H696+I696)</f>
        <v>95.97</v>
      </c>
      <c r="K696" s="229">
        <f>F696*H696</f>
        <v>358.92</v>
      </c>
      <c r="L696" s="230">
        <f>F696*I696</f>
        <v>792.72</v>
      </c>
      <c r="M696" s="231">
        <f>K696+L696</f>
        <v>1151.6400000000001</v>
      </c>
      <c r="N696" s="227">
        <f>M696*$N$7</f>
        <v>311.86411200000003</v>
      </c>
      <c r="O696" s="227">
        <f>M696+N696</f>
        <v>1463.5041120000001</v>
      </c>
    </row>
    <row r="697" spans="1:15" s="552" customFormat="1" ht="18.75" customHeight="1" x14ac:dyDescent="0.25">
      <c r="A697" s="543"/>
      <c r="B697" s="544"/>
      <c r="C697" s="513">
        <v>246</v>
      </c>
      <c r="D697" s="545" t="s">
        <v>764</v>
      </c>
      <c r="E697" s="514" t="s">
        <v>42</v>
      </c>
      <c r="F697" s="546">
        <v>3</v>
      </c>
      <c r="G697" s="547">
        <v>9.4499999999999993</v>
      </c>
      <c r="H697" s="548"/>
      <c r="I697" s="547">
        <f>F697*G697</f>
        <v>28.349999999999998</v>
      </c>
      <c r="J697" s="549"/>
      <c r="K697" s="548"/>
      <c r="L697" s="547"/>
      <c r="M697" s="549"/>
      <c r="N697" s="550"/>
      <c r="O697" s="551"/>
    </row>
    <row r="698" spans="1:15" s="552" customFormat="1" ht="18.75" customHeight="1" x14ac:dyDescent="0.25">
      <c r="A698" s="543"/>
      <c r="B698" s="544"/>
      <c r="C698" s="513">
        <v>2696</v>
      </c>
      <c r="D698" s="545" t="s">
        <v>765</v>
      </c>
      <c r="E698" s="514" t="s">
        <v>42</v>
      </c>
      <c r="F698" s="546">
        <v>3</v>
      </c>
      <c r="G698" s="547">
        <v>12.57</v>
      </c>
      <c r="H698" s="548"/>
      <c r="I698" s="547">
        <f>F698*G698</f>
        <v>37.71</v>
      </c>
      <c r="J698" s="549"/>
      <c r="K698" s="548"/>
      <c r="L698" s="547"/>
      <c r="M698" s="549"/>
      <c r="N698" s="550"/>
      <c r="O698" s="551"/>
    </row>
    <row r="699" spans="1:15" s="552" customFormat="1" ht="18.75" customHeight="1" x14ac:dyDescent="0.25">
      <c r="A699" s="543"/>
      <c r="B699" s="544"/>
      <c r="C699" s="513"/>
      <c r="D699" s="545" t="s">
        <v>149</v>
      </c>
      <c r="E699" s="514" t="s">
        <v>56</v>
      </c>
      <c r="F699" s="546">
        <v>8</v>
      </c>
      <c r="G699" s="547">
        <v>1.9</v>
      </c>
      <c r="H699" s="548">
        <f>F699*G699</f>
        <v>15.2</v>
      </c>
      <c r="I699" s="547"/>
      <c r="J699" s="549"/>
      <c r="K699" s="548"/>
      <c r="L699" s="547"/>
      <c r="M699" s="549"/>
      <c r="N699" s="550"/>
      <c r="O699" s="551"/>
    </row>
    <row r="700" spans="1:15" s="552" customFormat="1" ht="18.75" customHeight="1" x14ac:dyDescent="0.25">
      <c r="A700" s="543"/>
      <c r="B700" s="544"/>
      <c r="C700" s="513"/>
      <c r="D700" s="545" t="s">
        <v>150</v>
      </c>
      <c r="E700" s="514" t="s">
        <v>41</v>
      </c>
      <c r="F700" s="546">
        <v>1</v>
      </c>
      <c r="G700" s="547">
        <v>2.0099999999999998</v>
      </c>
      <c r="H700" s="548">
        <f>F700*G700</f>
        <v>2.0099999999999998</v>
      </c>
      <c r="I700" s="547"/>
      <c r="J700" s="549"/>
      <c r="K700" s="548"/>
      <c r="L700" s="547"/>
      <c r="M700" s="549"/>
      <c r="N700" s="550"/>
      <c r="O700" s="551"/>
    </row>
    <row r="701" spans="1:15" s="552" customFormat="1" ht="18.75" customHeight="1" x14ac:dyDescent="0.25">
      <c r="A701" s="543"/>
      <c r="B701" s="544"/>
      <c r="C701" s="513"/>
      <c r="D701" s="545" t="s">
        <v>151</v>
      </c>
      <c r="E701" s="514" t="s">
        <v>41</v>
      </c>
      <c r="F701" s="546">
        <v>3</v>
      </c>
      <c r="G701" s="547">
        <v>1.58</v>
      </c>
      <c r="H701" s="548">
        <f>F701*G701</f>
        <v>4.74</v>
      </c>
      <c r="I701" s="547"/>
      <c r="J701" s="549"/>
      <c r="K701" s="548"/>
      <c r="L701" s="547"/>
      <c r="M701" s="549"/>
      <c r="N701" s="550"/>
      <c r="O701" s="551"/>
    </row>
    <row r="702" spans="1:15" s="552" customFormat="1" ht="18.75" customHeight="1" x14ac:dyDescent="0.25">
      <c r="A702" s="543"/>
      <c r="B702" s="544"/>
      <c r="C702" s="513"/>
      <c r="D702" s="545" t="s">
        <v>152</v>
      </c>
      <c r="E702" s="514" t="s">
        <v>41</v>
      </c>
      <c r="F702" s="546">
        <v>1</v>
      </c>
      <c r="G702" s="547">
        <v>7.96</v>
      </c>
      <c r="H702" s="548">
        <f>F702*G702</f>
        <v>7.96</v>
      </c>
      <c r="I702" s="547"/>
      <c r="J702" s="549"/>
      <c r="K702" s="548"/>
      <c r="L702" s="547"/>
      <c r="M702" s="549"/>
      <c r="N702" s="550"/>
      <c r="O702" s="551"/>
    </row>
    <row r="703" spans="1:15" s="189" customFormat="1" ht="11.25" x14ac:dyDescent="0.25">
      <c r="A703" s="173"/>
      <c r="B703" s="174"/>
      <c r="C703" s="175"/>
      <c r="D703" s="176"/>
      <c r="E703" s="177"/>
      <c r="F703" s="190"/>
      <c r="G703" s="192"/>
      <c r="H703" s="193"/>
      <c r="I703" s="182"/>
      <c r="J703" s="183"/>
      <c r="K703" s="184"/>
      <c r="L703" s="185"/>
      <c r="M703" s="186"/>
      <c r="N703" s="187"/>
      <c r="O703" s="188"/>
    </row>
    <row r="704" spans="1:15" s="23" customFormat="1" ht="22.5" x14ac:dyDescent="0.2">
      <c r="A704" s="223" t="s">
        <v>39</v>
      </c>
      <c r="B704" s="224" t="s">
        <v>236</v>
      </c>
      <c r="C704" s="225" t="s">
        <v>376</v>
      </c>
      <c r="D704" s="226" t="s">
        <v>199</v>
      </c>
      <c r="E704" s="225" t="s">
        <v>41</v>
      </c>
      <c r="F704" s="515">
        <f>'MEMÓRIA DE CÁLCULO'!P111</f>
        <v>1</v>
      </c>
      <c r="G704" s="228"/>
      <c r="H704" s="229">
        <f>ROUND(SUM(H705:H710),2)</f>
        <v>63.83</v>
      </c>
      <c r="I704" s="230">
        <f>ROUND(SUM(I705:I710),2)</f>
        <v>66.06</v>
      </c>
      <c r="J704" s="231">
        <f>(H704+I704)</f>
        <v>129.88999999999999</v>
      </c>
      <c r="K704" s="229">
        <f>F704*H704</f>
        <v>63.83</v>
      </c>
      <c r="L704" s="230">
        <f>F704*I704</f>
        <v>66.06</v>
      </c>
      <c r="M704" s="231">
        <f>K704+L704</f>
        <v>129.88999999999999</v>
      </c>
      <c r="N704" s="227">
        <f>M704*$N$7</f>
        <v>35.174211999999997</v>
      </c>
      <c r="O704" s="227">
        <f>M704+N704</f>
        <v>165.064212</v>
      </c>
    </row>
    <row r="705" spans="1:15" s="552" customFormat="1" ht="18.75" customHeight="1" x14ac:dyDescent="0.25">
      <c r="A705" s="543"/>
      <c r="B705" s="544"/>
      <c r="C705" s="513">
        <v>246</v>
      </c>
      <c r="D705" s="545" t="s">
        <v>764</v>
      </c>
      <c r="E705" s="514" t="s">
        <v>42</v>
      </c>
      <c r="F705" s="546">
        <v>3</v>
      </c>
      <c r="G705" s="547">
        <v>9.4499999999999993</v>
      </c>
      <c r="H705" s="548"/>
      <c r="I705" s="547">
        <f>F705*G705</f>
        <v>28.349999999999998</v>
      </c>
      <c r="J705" s="549"/>
      <c r="K705" s="548"/>
      <c r="L705" s="547"/>
      <c r="M705" s="549"/>
      <c r="N705" s="550"/>
      <c r="O705" s="551"/>
    </row>
    <row r="706" spans="1:15" s="552" customFormat="1" ht="18.75" customHeight="1" x14ac:dyDescent="0.25">
      <c r="A706" s="543"/>
      <c r="B706" s="544"/>
      <c r="C706" s="513">
        <v>2696</v>
      </c>
      <c r="D706" s="545" t="s">
        <v>765</v>
      </c>
      <c r="E706" s="514" t="s">
        <v>42</v>
      </c>
      <c r="F706" s="546">
        <v>3</v>
      </c>
      <c r="G706" s="547">
        <v>12.57</v>
      </c>
      <c r="H706" s="548"/>
      <c r="I706" s="547">
        <f>F706*G706</f>
        <v>37.71</v>
      </c>
      <c r="J706" s="549"/>
      <c r="K706" s="548"/>
      <c r="L706" s="547"/>
      <c r="M706" s="549"/>
      <c r="N706" s="550"/>
      <c r="O706" s="551"/>
    </row>
    <row r="707" spans="1:15" s="552" customFormat="1" ht="18.75" customHeight="1" x14ac:dyDescent="0.25">
      <c r="A707" s="543"/>
      <c r="B707" s="544"/>
      <c r="C707" s="513"/>
      <c r="D707" s="545" t="s">
        <v>153</v>
      </c>
      <c r="E707" s="514" t="s">
        <v>56</v>
      </c>
      <c r="F707" s="546">
        <v>8</v>
      </c>
      <c r="G707" s="547">
        <v>4.37</v>
      </c>
      <c r="H707" s="548">
        <f>F707*G707</f>
        <v>34.96</v>
      </c>
      <c r="I707" s="547"/>
      <c r="J707" s="549"/>
      <c r="K707" s="548"/>
      <c r="L707" s="547"/>
      <c r="M707" s="549"/>
      <c r="N707" s="550"/>
      <c r="O707" s="551"/>
    </row>
    <row r="708" spans="1:15" s="552" customFormat="1" ht="18.75" customHeight="1" x14ac:dyDescent="0.25">
      <c r="A708" s="543"/>
      <c r="B708" s="544"/>
      <c r="C708" s="513"/>
      <c r="D708" s="545" t="s">
        <v>154</v>
      </c>
      <c r="E708" s="514" t="s">
        <v>41</v>
      </c>
      <c r="F708" s="546">
        <v>1</v>
      </c>
      <c r="G708" s="547">
        <v>1.07</v>
      </c>
      <c r="H708" s="548">
        <f>F708*G708</f>
        <v>1.07</v>
      </c>
      <c r="I708" s="547"/>
      <c r="J708" s="549"/>
      <c r="K708" s="548"/>
      <c r="L708" s="547"/>
      <c r="M708" s="549"/>
      <c r="N708" s="550"/>
      <c r="O708" s="551"/>
    </row>
    <row r="709" spans="1:15" s="552" customFormat="1" ht="18.75" customHeight="1" x14ac:dyDescent="0.25">
      <c r="A709" s="543"/>
      <c r="B709" s="544"/>
      <c r="C709" s="513"/>
      <c r="D709" s="545" t="s">
        <v>155</v>
      </c>
      <c r="E709" s="514" t="s">
        <v>41</v>
      </c>
      <c r="F709" s="546">
        <v>3</v>
      </c>
      <c r="G709" s="547">
        <v>7.82</v>
      </c>
      <c r="H709" s="548">
        <f>F709*G709</f>
        <v>23.46</v>
      </c>
      <c r="I709" s="547"/>
      <c r="J709" s="549"/>
      <c r="K709" s="548"/>
      <c r="L709" s="547"/>
      <c r="M709" s="549"/>
      <c r="N709" s="550"/>
      <c r="O709" s="551"/>
    </row>
    <row r="710" spans="1:15" s="552" customFormat="1" ht="18.75" customHeight="1" x14ac:dyDescent="0.25">
      <c r="A710" s="543"/>
      <c r="B710" s="544"/>
      <c r="C710" s="513"/>
      <c r="D710" s="545" t="s">
        <v>156</v>
      </c>
      <c r="E710" s="514" t="s">
        <v>41</v>
      </c>
      <c r="F710" s="546">
        <v>1</v>
      </c>
      <c r="G710" s="547">
        <v>4.34</v>
      </c>
      <c r="H710" s="548">
        <f>F710*G710</f>
        <v>4.34</v>
      </c>
      <c r="I710" s="547"/>
      <c r="J710" s="549"/>
      <c r="K710" s="548"/>
      <c r="L710" s="547"/>
      <c r="M710" s="549"/>
      <c r="N710" s="550"/>
      <c r="O710" s="551"/>
    </row>
    <row r="711" spans="1:15" s="179" customFormat="1" ht="11.25" x14ac:dyDescent="0.25">
      <c r="A711" s="173"/>
      <c r="B711" s="174"/>
      <c r="C711" s="175"/>
      <c r="D711" s="174"/>
      <c r="E711" s="175"/>
      <c r="F711" s="178"/>
      <c r="G711" s="191"/>
      <c r="H711" s="178"/>
      <c r="I711" s="200"/>
      <c r="J711" s="201"/>
      <c r="K711" s="175"/>
      <c r="L711" s="197"/>
      <c r="M711" s="198"/>
      <c r="N711" s="199"/>
      <c r="O711" s="174"/>
    </row>
    <row r="712" spans="1:15" s="23" customFormat="1" ht="14.25" x14ac:dyDescent="0.2">
      <c r="A712" s="223" t="s">
        <v>39</v>
      </c>
      <c r="B712" s="224" t="s">
        <v>157</v>
      </c>
      <c r="C712" s="225" t="s">
        <v>377</v>
      </c>
      <c r="D712" s="226" t="s">
        <v>200</v>
      </c>
      <c r="E712" s="225" t="s">
        <v>41</v>
      </c>
      <c r="F712" s="515">
        <f>'MEMÓRIA DE CÁLCULO'!Q111</f>
        <v>6</v>
      </c>
      <c r="G712" s="228">
        <v>51.288494999999998</v>
      </c>
      <c r="H712" s="229">
        <f>ROUND(SUM(H713:H718),2)</f>
        <v>73.27</v>
      </c>
      <c r="I712" s="230">
        <f>ROUND(SUM(I713:I718),2)</f>
        <v>77.069999999999993</v>
      </c>
      <c r="J712" s="231">
        <f>(H712+I712)</f>
        <v>150.33999999999997</v>
      </c>
      <c r="K712" s="229">
        <f>F712*H712</f>
        <v>439.62</v>
      </c>
      <c r="L712" s="230">
        <f>F712*I712</f>
        <v>462.41999999999996</v>
      </c>
      <c r="M712" s="231">
        <f>K712+L712</f>
        <v>902.04</v>
      </c>
      <c r="N712" s="227">
        <f>M712*$N$7</f>
        <v>244.27243199999998</v>
      </c>
      <c r="O712" s="227">
        <f>M712+N712</f>
        <v>1146.3124319999999</v>
      </c>
    </row>
    <row r="713" spans="1:15" s="552" customFormat="1" ht="18.75" customHeight="1" x14ac:dyDescent="0.25">
      <c r="A713" s="543"/>
      <c r="B713" s="544"/>
      <c r="C713" s="513">
        <v>246</v>
      </c>
      <c r="D713" s="545" t="s">
        <v>764</v>
      </c>
      <c r="E713" s="514" t="s">
        <v>42</v>
      </c>
      <c r="F713" s="546">
        <v>3.5</v>
      </c>
      <c r="G713" s="547">
        <v>9.4499999999999993</v>
      </c>
      <c r="H713" s="548"/>
      <c r="I713" s="547">
        <f>F713*G713</f>
        <v>33.074999999999996</v>
      </c>
      <c r="J713" s="549"/>
      <c r="K713" s="548"/>
      <c r="L713" s="547"/>
      <c r="M713" s="549"/>
      <c r="N713" s="550"/>
      <c r="O713" s="551"/>
    </row>
    <row r="714" spans="1:15" s="552" customFormat="1" ht="18.75" customHeight="1" x14ac:dyDescent="0.25">
      <c r="A714" s="543"/>
      <c r="B714" s="544"/>
      <c r="C714" s="513">
        <v>2696</v>
      </c>
      <c r="D714" s="545" t="s">
        <v>765</v>
      </c>
      <c r="E714" s="514" t="s">
        <v>42</v>
      </c>
      <c r="F714" s="546">
        <v>3.5</v>
      </c>
      <c r="G714" s="547">
        <v>12.57</v>
      </c>
      <c r="H714" s="548"/>
      <c r="I714" s="547">
        <f>F714*G714</f>
        <v>43.995000000000005</v>
      </c>
      <c r="J714" s="549"/>
      <c r="K714" s="548"/>
      <c r="L714" s="547"/>
      <c r="M714" s="549"/>
      <c r="N714" s="550"/>
      <c r="O714" s="551"/>
    </row>
    <row r="715" spans="1:15" s="552" customFormat="1" ht="18.75" customHeight="1" x14ac:dyDescent="0.25">
      <c r="A715" s="543"/>
      <c r="B715" s="544"/>
      <c r="C715" s="513"/>
      <c r="D715" s="545" t="s">
        <v>158</v>
      </c>
      <c r="E715" s="514" t="s">
        <v>41</v>
      </c>
      <c r="F715" s="546">
        <v>1</v>
      </c>
      <c r="G715" s="547">
        <v>8.14</v>
      </c>
      <c r="H715" s="548">
        <f>F715*G715</f>
        <v>8.14</v>
      </c>
      <c r="I715" s="547"/>
      <c r="J715" s="549"/>
      <c r="K715" s="548"/>
      <c r="L715" s="547"/>
      <c r="M715" s="549"/>
      <c r="N715" s="550"/>
      <c r="O715" s="551"/>
    </row>
    <row r="716" spans="1:15" s="552" customFormat="1" ht="18.75" customHeight="1" x14ac:dyDescent="0.25">
      <c r="A716" s="543"/>
      <c r="B716" s="544"/>
      <c r="C716" s="513"/>
      <c r="D716" s="545" t="s">
        <v>159</v>
      </c>
      <c r="E716" s="514" t="s">
        <v>56</v>
      </c>
      <c r="F716" s="546">
        <v>6</v>
      </c>
      <c r="G716" s="547">
        <v>7.19</v>
      </c>
      <c r="H716" s="548">
        <f>F716*G716</f>
        <v>43.14</v>
      </c>
      <c r="I716" s="547"/>
      <c r="J716" s="549"/>
      <c r="K716" s="548"/>
      <c r="L716" s="547"/>
      <c r="M716" s="549"/>
      <c r="N716" s="550"/>
      <c r="O716" s="551"/>
    </row>
    <row r="717" spans="1:15" s="552" customFormat="1" ht="18.75" customHeight="1" x14ac:dyDescent="0.25">
      <c r="A717" s="543"/>
      <c r="B717" s="544"/>
      <c r="C717" s="513"/>
      <c r="D717" s="545" t="s">
        <v>160</v>
      </c>
      <c r="E717" s="514" t="s">
        <v>41</v>
      </c>
      <c r="F717" s="546">
        <v>1</v>
      </c>
      <c r="G717" s="547">
        <v>12.83</v>
      </c>
      <c r="H717" s="548">
        <f>F717*G717</f>
        <v>12.83</v>
      </c>
      <c r="I717" s="547"/>
      <c r="J717" s="549"/>
      <c r="K717" s="548"/>
      <c r="L717" s="547"/>
      <c r="M717" s="549"/>
      <c r="N717" s="550"/>
      <c r="O717" s="551"/>
    </row>
    <row r="718" spans="1:15" s="552" customFormat="1" ht="18.75" customHeight="1" x14ac:dyDescent="0.25">
      <c r="A718" s="543"/>
      <c r="B718" s="544"/>
      <c r="C718" s="513"/>
      <c r="D718" s="545" t="s">
        <v>161</v>
      </c>
      <c r="E718" s="514" t="s">
        <v>41</v>
      </c>
      <c r="F718" s="546">
        <v>2</v>
      </c>
      <c r="G718" s="547">
        <v>4.58</v>
      </c>
      <c r="H718" s="548">
        <f>F718*G718</f>
        <v>9.16</v>
      </c>
      <c r="I718" s="547"/>
      <c r="J718" s="549"/>
      <c r="K718" s="548"/>
      <c r="L718" s="547"/>
      <c r="M718" s="549"/>
      <c r="N718" s="550"/>
      <c r="O718" s="551"/>
    </row>
    <row r="719" spans="1:15" s="23" customFormat="1" ht="14.25" x14ac:dyDescent="0.2">
      <c r="A719" s="223" t="s">
        <v>39</v>
      </c>
      <c r="B719" s="224" t="s">
        <v>162</v>
      </c>
      <c r="C719" s="225" t="s">
        <v>378</v>
      </c>
      <c r="D719" s="226" t="s">
        <v>201</v>
      </c>
      <c r="E719" s="225" t="s">
        <v>41</v>
      </c>
      <c r="F719" s="515">
        <f>'MEMÓRIA DE CÁLCULO'!R111</f>
        <v>7</v>
      </c>
      <c r="G719" s="228">
        <v>36.808495000000001</v>
      </c>
      <c r="H719" s="229">
        <f>ROUND(SUM(H720:H725),2)</f>
        <v>44.22</v>
      </c>
      <c r="I719" s="230">
        <f>ROUND(SUM(I720:I725),2)</f>
        <v>66.06</v>
      </c>
      <c r="J719" s="231">
        <f>(H719+I719)</f>
        <v>110.28</v>
      </c>
      <c r="K719" s="229">
        <f>F719*H719</f>
        <v>309.53999999999996</v>
      </c>
      <c r="L719" s="230">
        <f>F719*I719</f>
        <v>462.42</v>
      </c>
      <c r="M719" s="231">
        <f>K719+L719</f>
        <v>771.96</v>
      </c>
      <c r="N719" s="227">
        <f>M719*$N$7</f>
        <v>209.04676799999999</v>
      </c>
      <c r="O719" s="227">
        <f>M719+N719</f>
        <v>981.00676799999997</v>
      </c>
    </row>
    <row r="720" spans="1:15" s="552" customFormat="1" ht="18.75" customHeight="1" x14ac:dyDescent="0.25">
      <c r="A720" s="543"/>
      <c r="B720" s="544"/>
      <c r="C720" s="513">
        <v>246</v>
      </c>
      <c r="D720" s="545" t="s">
        <v>764</v>
      </c>
      <c r="E720" s="514" t="s">
        <v>42</v>
      </c>
      <c r="F720" s="546">
        <v>3</v>
      </c>
      <c r="G720" s="547">
        <v>9.4499999999999993</v>
      </c>
      <c r="H720" s="548"/>
      <c r="I720" s="547">
        <f>F720*G720</f>
        <v>28.349999999999998</v>
      </c>
      <c r="J720" s="549"/>
      <c r="K720" s="548"/>
      <c r="L720" s="547"/>
      <c r="M720" s="549"/>
      <c r="N720" s="550"/>
      <c r="O720" s="551"/>
    </row>
    <row r="721" spans="1:15" s="552" customFormat="1" ht="18.75" customHeight="1" x14ac:dyDescent="0.25">
      <c r="A721" s="543"/>
      <c r="B721" s="544"/>
      <c r="C721" s="513">
        <v>2696</v>
      </c>
      <c r="D721" s="545" t="s">
        <v>765</v>
      </c>
      <c r="E721" s="514" t="s">
        <v>42</v>
      </c>
      <c r="F721" s="546">
        <v>3</v>
      </c>
      <c r="G721" s="547">
        <v>12.57</v>
      </c>
      <c r="H721" s="548"/>
      <c r="I721" s="547">
        <f>F721*G721</f>
        <v>37.71</v>
      </c>
      <c r="J721" s="549"/>
      <c r="K721" s="548"/>
      <c r="L721" s="547"/>
      <c r="M721" s="549"/>
      <c r="N721" s="550"/>
      <c r="O721" s="551"/>
    </row>
    <row r="722" spans="1:15" s="552" customFormat="1" ht="18.75" customHeight="1" x14ac:dyDescent="0.25">
      <c r="A722" s="543"/>
      <c r="B722" s="544"/>
      <c r="C722" s="513"/>
      <c r="D722" s="545" t="s">
        <v>163</v>
      </c>
      <c r="E722" s="514" t="s">
        <v>56</v>
      </c>
      <c r="F722" s="546">
        <v>6</v>
      </c>
      <c r="G722" s="547">
        <v>4.43</v>
      </c>
      <c r="H722" s="548">
        <f>F722*G722</f>
        <v>26.58</v>
      </c>
      <c r="I722" s="547"/>
      <c r="J722" s="549"/>
      <c r="K722" s="548"/>
      <c r="L722" s="547"/>
      <c r="M722" s="549"/>
      <c r="N722" s="550"/>
      <c r="O722" s="551"/>
    </row>
    <row r="723" spans="1:15" s="552" customFormat="1" ht="18.75" customHeight="1" x14ac:dyDescent="0.25">
      <c r="A723" s="543"/>
      <c r="B723" s="544"/>
      <c r="C723" s="513"/>
      <c r="D723" s="545" t="s">
        <v>164</v>
      </c>
      <c r="E723" s="514" t="s">
        <v>41</v>
      </c>
      <c r="F723" s="546">
        <v>1</v>
      </c>
      <c r="G723" s="547">
        <v>3.62</v>
      </c>
      <c r="H723" s="548">
        <f>F723*G723</f>
        <v>3.62</v>
      </c>
      <c r="I723" s="547"/>
      <c r="J723" s="549"/>
      <c r="K723" s="548"/>
      <c r="L723" s="547"/>
      <c r="M723" s="549"/>
      <c r="N723" s="550"/>
      <c r="O723" s="551"/>
    </row>
    <row r="724" spans="1:15" s="552" customFormat="1" ht="18.75" customHeight="1" x14ac:dyDescent="0.25">
      <c r="A724" s="543"/>
      <c r="B724" s="544"/>
      <c r="C724" s="513"/>
      <c r="D724" s="545" t="s">
        <v>165</v>
      </c>
      <c r="E724" s="514" t="s">
        <v>41</v>
      </c>
      <c r="F724" s="546">
        <v>1</v>
      </c>
      <c r="G724" s="547">
        <v>8.3800000000000008</v>
      </c>
      <c r="H724" s="548">
        <f>F724*G724</f>
        <v>8.3800000000000008</v>
      </c>
      <c r="I724" s="547"/>
      <c r="J724" s="549"/>
      <c r="K724" s="548"/>
      <c r="L724" s="547"/>
      <c r="M724" s="549"/>
      <c r="N724" s="550"/>
      <c r="O724" s="551"/>
    </row>
    <row r="725" spans="1:15" s="552" customFormat="1" ht="18.75" customHeight="1" x14ac:dyDescent="0.25">
      <c r="A725" s="543"/>
      <c r="B725" s="544"/>
      <c r="C725" s="513"/>
      <c r="D725" s="545" t="s">
        <v>166</v>
      </c>
      <c r="E725" s="514" t="s">
        <v>41</v>
      </c>
      <c r="F725" s="546">
        <v>2</v>
      </c>
      <c r="G725" s="547">
        <v>2.82</v>
      </c>
      <c r="H725" s="548">
        <f>F725*G725</f>
        <v>5.64</v>
      </c>
      <c r="I725" s="547"/>
      <c r="J725" s="549"/>
      <c r="K725" s="548"/>
      <c r="L725" s="547"/>
      <c r="M725" s="549"/>
      <c r="N725" s="550"/>
      <c r="O725" s="551"/>
    </row>
    <row r="726" spans="1:15" s="179" customFormat="1" ht="15" customHeight="1" x14ac:dyDescent="0.25">
      <c r="A726" s="202"/>
      <c r="B726" s="190"/>
      <c r="C726" s="203"/>
      <c r="D726" s="190"/>
      <c r="E726" s="203"/>
      <c r="F726" s="178"/>
      <c r="G726" s="191"/>
      <c r="H726" s="204"/>
      <c r="I726" s="200"/>
      <c r="J726" s="201"/>
      <c r="K726" s="203"/>
      <c r="L726" s="182"/>
      <c r="M726" s="183"/>
      <c r="N726" s="205"/>
      <c r="O726" s="188"/>
    </row>
    <row r="727" spans="1:15" s="23" customFormat="1" ht="14.25" x14ac:dyDescent="0.2">
      <c r="A727" s="135"/>
      <c r="B727" s="120"/>
      <c r="C727" s="122"/>
      <c r="D727" s="124" t="s">
        <v>32</v>
      </c>
      <c r="E727" s="122"/>
      <c r="F727" s="90"/>
      <c r="G727" s="116"/>
      <c r="H727" s="102"/>
      <c r="I727" s="35"/>
      <c r="J727" s="103"/>
      <c r="K727" s="141"/>
      <c r="L727" s="35"/>
      <c r="M727" s="103"/>
      <c r="N727" s="90"/>
      <c r="O727" s="90"/>
    </row>
    <row r="728" spans="1:15" s="23" customFormat="1" ht="14.25" x14ac:dyDescent="0.2">
      <c r="A728" s="134"/>
      <c r="B728" s="129"/>
      <c r="C728" s="29"/>
      <c r="D728" s="117" t="s">
        <v>83</v>
      </c>
      <c r="E728" s="30"/>
      <c r="F728" s="118"/>
      <c r="G728" s="31"/>
      <c r="H728" s="104"/>
      <c r="I728" s="27"/>
      <c r="J728" s="105"/>
      <c r="K728" s="31"/>
      <c r="L728" s="31"/>
      <c r="M728" s="111"/>
      <c r="N728" s="92"/>
      <c r="O728" s="92"/>
    </row>
    <row r="729" spans="1:15" s="23" customFormat="1" ht="22.5" x14ac:dyDescent="0.2">
      <c r="A729" s="223" t="s">
        <v>78</v>
      </c>
      <c r="B729" s="224" t="s">
        <v>33</v>
      </c>
      <c r="C729" s="225" t="s">
        <v>379</v>
      </c>
      <c r="D729" s="226" t="s">
        <v>202</v>
      </c>
      <c r="E729" s="225" t="s">
        <v>81</v>
      </c>
      <c r="F729" s="515">
        <f>'MEMÓRIA DE CÁLCULO'!AJ111</f>
        <v>1</v>
      </c>
      <c r="G729" s="228"/>
      <c r="H729" s="229">
        <f>ROUND(SUM(H730:H733),2)</f>
        <v>82.19</v>
      </c>
      <c r="I729" s="229">
        <f>ROUND(SUM(I730:I733),2)</f>
        <v>20.92</v>
      </c>
      <c r="J729" s="231">
        <f>(H729+I729)</f>
        <v>103.11</v>
      </c>
      <c r="K729" s="229">
        <f>F729*H729</f>
        <v>82.19</v>
      </c>
      <c r="L729" s="230">
        <f>F729*I729</f>
        <v>20.92</v>
      </c>
      <c r="M729" s="231">
        <f>K729+L729</f>
        <v>103.11</v>
      </c>
      <c r="N729" s="227">
        <f>M729*$N$7</f>
        <v>27.922187999999998</v>
      </c>
      <c r="O729" s="227">
        <f>M729+N729</f>
        <v>131.03218799999999</v>
      </c>
    </row>
    <row r="730" spans="1:15" s="552" customFormat="1" ht="18.75" customHeight="1" x14ac:dyDescent="0.25">
      <c r="A730" s="543"/>
      <c r="B730" s="544"/>
      <c r="C730" s="513">
        <v>246</v>
      </c>
      <c r="D730" s="545" t="s">
        <v>766</v>
      </c>
      <c r="E730" s="514" t="s">
        <v>42</v>
      </c>
      <c r="F730" s="546">
        <v>0.95</v>
      </c>
      <c r="G730" s="547">
        <v>9.4499999999999993</v>
      </c>
      <c r="H730" s="548"/>
      <c r="I730" s="547">
        <f>F730*G730</f>
        <v>8.9774999999999991</v>
      </c>
      <c r="J730" s="549"/>
      <c r="K730" s="548"/>
      <c r="L730" s="547"/>
      <c r="M730" s="549"/>
      <c r="N730" s="550"/>
      <c r="O730" s="551"/>
    </row>
    <row r="731" spans="1:15" s="552" customFormat="1" ht="18.75" customHeight="1" x14ac:dyDescent="0.25">
      <c r="A731" s="543"/>
      <c r="B731" s="544"/>
      <c r="C731" s="513">
        <v>2696</v>
      </c>
      <c r="D731" s="545" t="s">
        <v>765</v>
      </c>
      <c r="E731" s="514" t="s">
        <v>42</v>
      </c>
      <c r="F731" s="546">
        <v>0.95</v>
      </c>
      <c r="G731" s="547">
        <v>12.57</v>
      </c>
      <c r="H731" s="548"/>
      <c r="I731" s="547">
        <f>F731*G731</f>
        <v>11.9415</v>
      </c>
      <c r="J731" s="549"/>
      <c r="K731" s="548"/>
      <c r="L731" s="547"/>
      <c r="M731" s="549"/>
      <c r="N731" s="550"/>
      <c r="O731" s="551"/>
    </row>
    <row r="732" spans="1:15" s="552" customFormat="1" ht="18.75" customHeight="1" x14ac:dyDescent="0.25">
      <c r="A732" s="543"/>
      <c r="B732" s="544"/>
      <c r="C732" s="513">
        <v>3146</v>
      </c>
      <c r="D732" s="545" t="s">
        <v>746</v>
      </c>
      <c r="E732" s="514" t="s">
        <v>81</v>
      </c>
      <c r="F732" s="546">
        <v>0.188</v>
      </c>
      <c r="G732" s="547">
        <v>2.0699999999999998</v>
      </c>
      <c r="H732" s="548">
        <f>F732*G732</f>
        <v>0.38915999999999995</v>
      </c>
      <c r="I732" s="547"/>
      <c r="J732" s="549"/>
      <c r="K732" s="548"/>
      <c r="L732" s="547"/>
      <c r="M732" s="549"/>
      <c r="N732" s="550"/>
      <c r="O732" s="551"/>
    </row>
    <row r="733" spans="1:15" s="552" customFormat="1" ht="18.75" customHeight="1" x14ac:dyDescent="0.25">
      <c r="A733" s="543"/>
      <c r="B733" s="544"/>
      <c r="C733" s="513">
        <v>6015</v>
      </c>
      <c r="D733" s="545" t="s">
        <v>747</v>
      </c>
      <c r="E733" s="514" t="s">
        <v>41</v>
      </c>
      <c r="F733" s="546">
        <v>1</v>
      </c>
      <c r="G733" s="547">
        <v>81.8</v>
      </c>
      <c r="H733" s="548">
        <f>F733*G733</f>
        <v>81.8</v>
      </c>
      <c r="I733" s="547"/>
      <c r="J733" s="549"/>
      <c r="K733" s="548"/>
      <c r="L733" s="547"/>
      <c r="M733" s="549"/>
      <c r="N733" s="550"/>
      <c r="O733" s="551"/>
    </row>
    <row r="734" spans="1:15" s="23" customFormat="1" ht="14.25" x14ac:dyDescent="0.2">
      <c r="A734" s="134"/>
      <c r="B734" s="129"/>
      <c r="C734" s="29"/>
      <c r="D734" s="117" t="s">
        <v>83</v>
      </c>
      <c r="E734" s="30"/>
      <c r="F734" s="118"/>
      <c r="G734" s="31"/>
      <c r="H734" s="104"/>
      <c r="I734" s="27"/>
      <c r="J734" s="105"/>
      <c r="K734" s="31"/>
      <c r="L734" s="31"/>
      <c r="M734" s="111"/>
      <c r="N734" s="92"/>
      <c r="O734" s="92"/>
    </row>
    <row r="735" spans="1:15" s="23" customFormat="1" ht="22.5" x14ac:dyDescent="0.2">
      <c r="A735" s="223" t="s">
        <v>78</v>
      </c>
      <c r="B735" s="224" t="s">
        <v>34</v>
      </c>
      <c r="C735" s="225" t="s">
        <v>380</v>
      </c>
      <c r="D735" s="226" t="s">
        <v>1110</v>
      </c>
      <c r="E735" s="225" t="s">
        <v>81</v>
      </c>
      <c r="F735" s="515">
        <v>4</v>
      </c>
      <c r="G735" s="228"/>
      <c r="H735" s="229">
        <f>ROUND(SUM(H736:H739),2)</f>
        <v>46.14</v>
      </c>
      <c r="I735" s="229">
        <f>ROUND(SUM(I736:I739),2)</f>
        <v>13.43</v>
      </c>
      <c r="J735" s="231">
        <f>(H735+I735)</f>
        <v>59.57</v>
      </c>
      <c r="K735" s="229">
        <f>F735*H735</f>
        <v>184.56</v>
      </c>
      <c r="L735" s="230">
        <f>F735*I735</f>
        <v>53.72</v>
      </c>
      <c r="M735" s="231">
        <f>K735+L735</f>
        <v>238.28</v>
      </c>
      <c r="N735" s="227">
        <f>M735*$N$7</f>
        <v>64.526223999999999</v>
      </c>
      <c r="O735" s="227">
        <f>M735+N735</f>
        <v>302.80622399999999</v>
      </c>
    </row>
    <row r="736" spans="1:15" s="552" customFormat="1" ht="18.75" customHeight="1" x14ac:dyDescent="0.25">
      <c r="A736" s="543"/>
      <c r="B736" s="544"/>
      <c r="C736" s="513">
        <v>246</v>
      </c>
      <c r="D736" s="545" t="s">
        <v>766</v>
      </c>
      <c r="E736" s="514" t="s">
        <v>42</v>
      </c>
      <c r="F736" s="546">
        <v>0.61</v>
      </c>
      <c r="G736" s="547">
        <v>9.4499999999999993</v>
      </c>
      <c r="H736" s="548"/>
      <c r="I736" s="547">
        <f>F736*G736</f>
        <v>5.7644999999999991</v>
      </c>
      <c r="J736" s="549"/>
      <c r="K736" s="548"/>
      <c r="L736" s="547"/>
      <c r="M736" s="549"/>
      <c r="N736" s="550"/>
      <c r="O736" s="551"/>
    </row>
    <row r="737" spans="1:15" s="552" customFormat="1" ht="18.75" customHeight="1" x14ac:dyDescent="0.25">
      <c r="A737" s="543"/>
      <c r="B737" s="544"/>
      <c r="C737" s="513">
        <v>2696</v>
      </c>
      <c r="D737" s="545" t="s">
        <v>765</v>
      </c>
      <c r="E737" s="514" t="s">
        <v>42</v>
      </c>
      <c r="F737" s="546">
        <v>0.61</v>
      </c>
      <c r="G737" s="547">
        <v>12.57</v>
      </c>
      <c r="H737" s="548"/>
      <c r="I737" s="547">
        <f>F737*G737</f>
        <v>7.6677</v>
      </c>
      <c r="J737" s="549"/>
      <c r="K737" s="548"/>
      <c r="L737" s="547"/>
      <c r="M737" s="549"/>
      <c r="N737" s="550"/>
      <c r="O737" s="551"/>
    </row>
    <row r="738" spans="1:15" s="552" customFormat="1" ht="18.75" customHeight="1" x14ac:dyDescent="0.25">
      <c r="A738" s="543"/>
      <c r="B738" s="544"/>
      <c r="C738" s="513">
        <v>3146</v>
      </c>
      <c r="D738" s="545" t="s">
        <v>746</v>
      </c>
      <c r="E738" s="514" t="s">
        <v>81</v>
      </c>
      <c r="F738" s="546">
        <v>9.4E-2</v>
      </c>
      <c r="G738" s="547">
        <v>2.0699999999999998</v>
      </c>
      <c r="H738" s="548">
        <f>F738*G738</f>
        <v>0.19457999999999998</v>
      </c>
      <c r="I738" s="547"/>
      <c r="J738" s="549"/>
      <c r="K738" s="548"/>
      <c r="L738" s="547"/>
      <c r="M738" s="549"/>
      <c r="N738" s="550"/>
      <c r="O738" s="551"/>
    </row>
    <row r="739" spans="1:15" s="552" customFormat="1" ht="18.75" customHeight="1" x14ac:dyDescent="0.25">
      <c r="A739" s="543"/>
      <c r="B739" s="544"/>
      <c r="C739" s="513">
        <v>6005</v>
      </c>
      <c r="D739" s="545" t="s">
        <v>748</v>
      </c>
      <c r="E739" s="514" t="s">
        <v>41</v>
      </c>
      <c r="F739" s="546">
        <v>1</v>
      </c>
      <c r="G739" s="547">
        <v>45.95</v>
      </c>
      <c r="H739" s="548">
        <f>F739*G739</f>
        <v>45.95</v>
      </c>
      <c r="I739" s="547"/>
      <c r="J739" s="549"/>
      <c r="K739" s="548"/>
      <c r="L739" s="547"/>
      <c r="M739" s="549"/>
      <c r="N739" s="550"/>
      <c r="O739" s="551"/>
    </row>
    <row r="740" spans="1:15" s="23" customFormat="1" ht="14.25" x14ac:dyDescent="0.2">
      <c r="A740" s="134"/>
      <c r="B740" s="129"/>
      <c r="C740" s="29"/>
      <c r="D740" s="117" t="s">
        <v>83</v>
      </c>
      <c r="E740" s="30"/>
      <c r="F740" s="118"/>
      <c r="G740" s="31"/>
      <c r="H740" s="104"/>
      <c r="I740" s="27"/>
      <c r="J740" s="105"/>
      <c r="K740" s="31"/>
      <c r="L740" s="31"/>
      <c r="M740" s="111"/>
      <c r="N740" s="92"/>
      <c r="O740" s="92"/>
    </row>
    <row r="741" spans="1:15" s="23" customFormat="1" ht="14.25" x14ac:dyDescent="0.2">
      <c r="A741" s="134"/>
      <c r="B741" s="129"/>
      <c r="C741" s="29"/>
      <c r="D741" s="117" t="s">
        <v>83</v>
      </c>
      <c r="E741" s="30"/>
      <c r="F741" s="118"/>
      <c r="G741" s="31"/>
      <c r="H741" s="104"/>
      <c r="I741" s="27"/>
      <c r="J741" s="105"/>
      <c r="K741" s="31"/>
      <c r="L741" s="31"/>
      <c r="M741" s="111"/>
      <c r="N741" s="92"/>
      <c r="O741" s="92"/>
    </row>
    <row r="742" spans="1:15" s="23" customFormat="1" ht="14.25" x14ac:dyDescent="0.2">
      <c r="A742" s="135"/>
      <c r="B742" s="120"/>
      <c r="C742" s="122"/>
      <c r="D742" s="124" t="s">
        <v>37</v>
      </c>
      <c r="E742" s="122"/>
      <c r="F742" s="90"/>
      <c r="G742" s="116"/>
      <c r="H742" s="102"/>
      <c r="I742" s="35"/>
      <c r="J742" s="103"/>
      <c r="K742" s="141"/>
      <c r="L742" s="35"/>
      <c r="M742" s="103"/>
      <c r="N742" s="90"/>
      <c r="O742" s="90"/>
    </row>
    <row r="743" spans="1:15" s="23" customFormat="1" ht="14.25" x14ac:dyDescent="0.2">
      <c r="A743" s="134"/>
      <c r="B743" s="129"/>
      <c r="C743" s="29"/>
      <c r="D743" s="117" t="s">
        <v>83</v>
      </c>
      <c r="E743" s="30"/>
      <c r="F743" s="118"/>
      <c r="G743" s="31"/>
      <c r="H743" s="104"/>
      <c r="I743" s="27"/>
      <c r="J743" s="105"/>
      <c r="K743" s="31"/>
      <c r="L743" s="31"/>
      <c r="M743" s="111"/>
      <c r="N743" s="92"/>
      <c r="O743" s="92"/>
    </row>
    <row r="744" spans="1:15" s="23" customFormat="1" ht="22.5" x14ac:dyDescent="0.2">
      <c r="A744" s="223" t="s">
        <v>78</v>
      </c>
      <c r="B744" s="224">
        <v>40777</v>
      </c>
      <c r="C744" s="225" t="s">
        <v>382</v>
      </c>
      <c r="D744" s="226" t="s">
        <v>0</v>
      </c>
      <c r="E744" s="225" t="s">
        <v>81</v>
      </c>
      <c r="F744" s="515">
        <v>3</v>
      </c>
      <c r="G744" s="228"/>
      <c r="H744" s="229">
        <f>ROUND(SUM(H745:H747),2)</f>
        <v>5.83</v>
      </c>
      <c r="I744" s="229">
        <f>ROUND(SUM(I745:I747),2)</f>
        <v>11.01</v>
      </c>
      <c r="J744" s="231">
        <f>(H744+I744)</f>
        <v>16.84</v>
      </c>
      <c r="K744" s="229">
        <f>F744*H744</f>
        <v>17.490000000000002</v>
      </c>
      <c r="L744" s="230">
        <f>F744*I744</f>
        <v>33.03</v>
      </c>
      <c r="M744" s="231">
        <f>K744+L744</f>
        <v>50.52</v>
      </c>
      <c r="N744" s="227">
        <f>M744*$N$7</f>
        <v>13.680816</v>
      </c>
      <c r="O744" s="227">
        <f>M744+N744</f>
        <v>64.200816000000003</v>
      </c>
    </row>
    <row r="745" spans="1:15" s="552" customFormat="1" ht="18.75" customHeight="1" x14ac:dyDescent="0.25">
      <c r="A745" s="543"/>
      <c r="B745" s="544"/>
      <c r="C745" s="513">
        <v>2696</v>
      </c>
      <c r="D745" s="545" t="s">
        <v>765</v>
      </c>
      <c r="E745" s="514" t="s">
        <v>42</v>
      </c>
      <c r="F745" s="546">
        <v>0.5</v>
      </c>
      <c r="G745" s="547">
        <v>12.57</v>
      </c>
      <c r="H745" s="548"/>
      <c r="I745" s="547">
        <f>F745*G745</f>
        <v>6.2850000000000001</v>
      </c>
      <c r="J745" s="549"/>
      <c r="K745" s="548"/>
      <c r="L745" s="547"/>
      <c r="M745" s="549"/>
      <c r="N745" s="550"/>
      <c r="O745" s="551"/>
    </row>
    <row r="746" spans="1:15" s="552" customFormat="1" ht="18.75" customHeight="1" x14ac:dyDescent="0.25">
      <c r="A746" s="543"/>
      <c r="B746" s="544"/>
      <c r="C746" s="513">
        <v>246</v>
      </c>
      <c r="D746" s="545" t="s">
        <v>766</v>
      </c>
      <c r="E746" s="514" t="s">
        <v>42</v>
      </c>
      <c r="F746" s="546">
        <v>0.5</v>
      </c>
      <c r="G746" s="547">
        <v>9.4499999999999993</v>
      </c>
      <c r="H746" s="548"/>
      <c r="I746" s="547">
        <f>F746*G746</f>
        <v>4.7249999999999996</v>
      </c>
      <c r="J746" s="549"/>
      <c r="K746" s="548"/>
      <c r="L746" s="547"/>
      <c r="M746" s="549"/>
      <c r="N746" s="550"/>
      <c r="O746" s="551"/>
    </row>
    <row r="747" spans="1:15" s="552" customFormat="1" ht="18.75" customHeight="1" x14ac:dyDescent="0.25">
      <c r="A747" s="543"/>
      <c r="B747" s="544"/>
      <c r="C747" s="513">
        <v>11745</v>
      </c>
      <c r="D747" s="545" t="s">
        <v>749</v>
      </c>
      <c r="E747" s="514" t="s">
        <v>81</v>
      </c>
      <c r="F747" s="546">
        <v>1</v>
      </c>
      <c r="G747" s="547">
        <v>5.83</v>
      </c>
      <c r="H747" s="548">
        <f>F747*G747</f>
        <v>5.83</v>
      </c>
      <c r="I747" s="547"/>
      <c r="J747" s="549"/>
      <c r="K747" s="548"/>
      <c r="L747" s="547"/>
      <c r="M747" s="549"/>
      <c r="N747" s="550"/>
      <c r="O747" s="551"/>
    </row>
    <row r="748" spans="1:15" s="23" customFormat="1" ht="14.25" x14ac:dyDescent="0.2">
      <c r="A748" s="134"/>
      <c r="B748" s="129"/>
      <c r="C748" s="29"/>
      <c r="D748" s="117" t="s">
        <v>83</v>
      </c>
      <c r="E748" s="30"/>
      <c r="F748" s="118"/>
      <c r="G748" s="31"/>
      <c r="H748" s="104"/>
      <c r="I748" s="27"/>
      <c r="J748" s="105"/>
      <c r="K748" s="31"/>
      <c r="L748" s="31"/>
      <c r="M748" s="111"/>
      <c r="N748" s="92"/>
      <c r="O748" s="92"/>
    </row>
    <row r="749" spans="1:15" s="23" customFormat="1" ht="14.25" x14ac:dyDescent="0.2">
      <c r="A749" s="135"/>
      <c r="B749" s="120"/>
      <c r="C749" s="122"/>
      <c r="D749" s="124" t="s">
        <v>38</v>
      </c>
      <c r="E749" s="122"/>
      <c r="F749" s="90"/>
      <c r="G749" s="116"/>
      <c r="H749" s="102"/>
      <c r="I749" s="35"/>
      <c r="J749" s="103"/>
      <c r="K749" s="141"/>
      <c r="L749" s="35"/>
      <c r="M749" s="103"/>
      <c r="N749" s="90"/>
      <c r="O749" s="90"/>
    </row>
    <row r="750" spans="1:15" s="23" customFormat="1" ht="14.25" x14ac:dyDescent="0.2">
      <c r="A750" s="134"/>
      <c r="B750" s="129"/>
      <c r="C750" s="29"/>
      <c r="D750" s="117"/>
      <c r="E750" s="30"/>
      <c r="F750" s="118"/>
      <c r="G750" s="31"/>
      <c r="H750" s="104"/>
      <c r="I750" s="27"/>
      <c r="J750" s="105"/>
      <c r="K750" s="31"/>
      <c r="L750" s="31"/>
      <c r="M750" s="111"/>
      <c r="N750" s="92"/>
      <c r="O750" s="92"/>
    </row>
    <row r="751" spans="1:15" s="23" customFormat="1" ht="22.5" x14ac:dyDescent="0.2">
      <c r="A751" s="223" t="s">
        <v>39</v>
      </c>
      <c r="B751" s="224" t="s">
        <v>9</v>
      </c>
      <c r="C751" s="225" t="s">
        <v>381</v>
      </c>
      <c r="D751" s="226" t="s">
        <v>204</v>
      </c>
      <c r="E751" s="225" t="s">
        <v>41</v>
      </c>
      <c r="F751" s="515">
        <f>'MEMÓRIA DE CÁLCULO'!U111</f>
        <v>1</v>
      </c>
      <c r="G751" s="228"/>
      <c r="H751" s="229">
        <f>ROUND(SUM(H752:H762),2)</f>
        <v>531.55999999999995</v>
      </c>
      <c r="I751" s="230">
        <f>ROUND(SUM(I752:I762),2)</f>
        <v>72.67</v>
      </c>
      <c r="J751" s="231">
        <f>(H751+I751)</f>
        <v>604.2299999999999</v>
      </c>
      <c r="K751" s="229">
        <f>F751*H751</f>
        <v>531.55999999999995</v>
      </c>
      <c r="L751" s="230">
        <f>F751*I751</f>
        <v>72.67</v>
      </c>
      <c r="M751" s="231">
        <f>K751+L751</f>
        <v>604.2299999999999</v>
      </c>
      <c r="N751" s="227">
        <f>M751*$N$7</f>
        <v>163.62548399999997</v>
      </c>
      <c r="O751" s="227">
        <f>M751+N751</f>
        <v>767.85548399999993</v>
      </c>
    </row>
    <row r="752" spans="1:15" s="552" customFormat="1" ht="18.75" customHeight="1" x14ac:dyDescent="0.25">
      <c r="A752" s="543"/>
      <c r="B752" s="544"/>
      <c r="C752" s="513">
        <v>2696</v>
      </c>
      <c r="D752" s="545" t="s">
        <v>765</v>
      </c>
      <c r="E752" s="514" t="s">
        <v>42</v>
      </c>
      <c r="F752" s="546">
        <v>3.3</v>
      </c>
      <c r="G752" s="547">
        <v>12.57</v>
      </c>
      <c r="H752" s="548"/>
      <c r="I752" s="547">
        <f>F752*G752</f>
        <v>41.481000000000002</v>
      </c>
      <c r="J752" s="549"/>
      <c r="K752" s="548"/>
      <c r="L752" s="547"/>
      <c r="M752" s="549"/>
      <c r="N752" s="550"/>
      <c r="O752" s="551"/>
    </row>
    <row r="753" spans="1:15" s="552" customFormat="1" ht="18.75" customHeight="1" x14ac:dyDescent="0.25">
      <c r="A753" s="543"/>
      <c r="B753" s="544"/>
      <c r="C753" s="513">
        <v>246</v>
      </c>
      <c r="D753" s="545" t="s">
        <v>766</v>
      </c>
      <c r="E753" s="514" t="s">
        <v>42</v>
      </c>
      <c r="F753" s="546">
        <v>3.3</v>
      </c>
      <c r="G753" s="547">
        <v>9.4499999999999993</v>
      </c>
      <c r="H753" s="548"/>
      <c r="I753" s="547">
        <f>F753*G753</f>
        <v>31.184999999999995</v>
      </c>
      <c r="J753" s="549"/>
      <c r="K753" s="548"/>
      <c r="L753" s="547"/>
      <c r="M753" s="549"/>
      <c r="N753" s="550"/>
      <c r="O753" s="551"/>
    </row>
    <row r="754" spans="1:15" s="552" customFormat="1" ht="18.75" customHeight="1" x14ac:dyDescent="0.25">
      <c r="A754" s="543"/>
      <c r="B754" s="544"/>
      <c r="C754" s="513"/>
      <c r="D754" s="545" t="s">
        <v>44</v>
      </c>
      <c r="E754" s="514" t="s">
        <v>41</v>
      </c>
      <c r="F754" s="546">
        <v>1</v>
      </c>
      <c r="G754" s="547">
        <v>4.58</v>
      </c>
      <c r="H754" s="548">
        <f t="shared" ref="H754:H762" si="94">F754*G754</f>
        <v>4.58</v>
      </c>
      <c r="I754" s="547"/>
      <c r="J754" s="549"/>
      <c r="K754" s="548"/>
      <c r="L754" s="547"/>
      <c r="M754" s="549"/>
      <c r="N754" s="550"/>
      <c r="O754" s="551"/>
    </row>
    <row r="755" spans="1:15" s="552" customFormat="1" ht="18.75" customHeight="1" x14ac:dyDescent="0.25">
      <c r="A755" s="543"/>
      <c r="B755" s="544"/>
      <c r="C755" s="513" t="s">
        <v>28</v>
      </c>
      <c r="D755" s="545" t="s">
        <v>14</v>
      </c>
      <c r="E755" s="514" t="s">
        <v>41</v>
      </c>
      <c r="F755" s="546">
        <v>1</v>
      </c>
      <c r="G755" s="547">
        <v>94.8</v>
      </c>
      <c r="H755" s="548">
        <f t="shared" si="94"/>
        <v>94.8</v>
      </c>
      <c r="I755" s="547"/>
      <c r="J755" s="549"/>
      <c r="K755" s="548"/>
      <c r="L755" s="547"/>
      <c r="M755" s="549"/>
      <c r="N755" s="550"/>
      <c r="O755" s="551"/>
    </row>
    <row r="756" spans="1:15" s="552" customFormat="1" ht="18.75" customHeight="1" x14ac:dyDescent="0.25">
      <c r="A756" s="543"/>
      <c r="B756" s="544"/>
      <c r="C756" s="513"/>
      <c r="D756" s="545" t="s">
        <v>10</v>
      </c>
      <c r="E756" s="514" t="s">
        <v>41</v>
      </c>
      <c r="F756" s="546">
        <v>1</v>
      </c>
      <c r="G756" s="547">
        <v>5.88</v>
      </c>
      <c r="H756" s="548">
        <f t="shared" si="94"/>
        <v>5.88</v>
      </c>
      <c r="I756" s="547"/>
      <c r="J756" s="549"/>
      <c r="K756" s="548"/>
      <c r="L756" s="547"/>
      <c r="M756" s="549"/>
      <c r="N756" s="550"/>
      <c r="O756" s="551"/>
    </row>
    <row r="757" spans="1:15" s="552" customFormat="1" ht="18.75" customHeight="1" x14ac:dyDescent="0.25">
      <c r="A757" s="543"/>
      <c r="B757" s="544"/>
      <c r="C757" s="513"/>
      <c r="D757" s="545" t="s">
        <v>11</v>
      </c>
      <c r="E757" s="514" t="s">
        <v>41</v>
      </c>
      <c r="F757" s="546">
        <v>1</v>
      </c>
      <c r="G757" s="547">
        <v>25.92</v>
      </c>
      <c r="H757" s="548">
        <f t="shared" si="94"/>
        <v>25.92</v>
      </c>
      <c r="I757" s="547"/>
      <c r="J757" s="549"/>
      <c r="K757" s="548"/>
      <c r="L757" s="547"/>
      <c r="M757" s="549"/>
      <c r="N757" s="550"/>
      <c r="O757" s="551"/>
    </row>
    <row r="758" spans="1:15" s="552" customFormat="1" ht="18.75" customHeight="1" x14ac:dyDescent="0.25">
      <c r="A758" s="543"/>
      <c r="B758" s="544"/>
      <c r="C758" s="513"/>
      <c r="D758" s="545" t="s">
        <v>12</v>
      </c>
      <c r="E758" s="514" t="s">
        <v>41</v>
      </c>
      <c r="F758" s="546">
        <v>1</v>
      </c>
      <c r="G758" s="547">
        <v>1.92</v>
      </c>
      <c r="H758" s="548">
        <f t="shared" si="94"/>
        <v>1.92</v>
      </c>
      <c r="I758" s="547"/>
      <c r="J758" s="549"/>
      <c r="K758" s="548"/>
      <c r="L758" s="547"/>
      <c r="M758" s="549"/>
      <c r="N758" s="550"/>
      <c r="O758" s="551"/>
    </row>
    <row r="759" spans="1:15" s="552" customFormat="1" ht="18.75" customHeight="1" x14ac:dyDescent="0.25">
      <c r="A759" s="543"/>
      <c r="B759" s="544"/>
      <c r="C759" s="513" t="s">
        <v>28</v>
      </c>
      <c r="D759" s="545" t="s">
        <v>13</v>
      </c>
      <c r="E759" s="514" t="s">
        <v>41</v>
      </c>
      <c r="F759" s="546">
        <v>1</v>
      </c>
      <c r="G759" s="547">
        <v>392.9</v>
      </c>
      <c r="H759" s="548">
        <f t="shared" si="94"/>
        <v>392.9</v>
      </c>
      <c r="I759" s="547"/>
      <c r="J759" s="549"/>
      <c r="K759" s="548"/>
      <c r="L759" s="547"/>
      <c r="M759" s="549"/>
      <c r="N759" s="550"/>
      <c r="O759" s="551"/>
    </row>
    <row r="760" spans="1:15" s="552" customFormat="1" ht="18.75" customHeight="1" x14ac:dyDescent="0.25">
      <c r="A760" s="543"/>
      <c r="B760" s="544"/>
      <c r="C760" s="513"/>
      <c r="D760" s="545" t="s">
        <v>36</v>
      </c>
      <c r="E760" s="514" t="s">
        <v>48</v>
      </c>
      <c r="F760" s="546">
        <v>0.25</v>
      </c>
      <c r="G760" s="547">
        <v>2</v>
      </c>
      <c r="H760" s="548">
        <f t="shared" si="94"/>
        <v>0.5</v>
      </c>
      <c r="I760" s="547"/>
      <c r="J760" s="549"/>
      <c r="K760" s="548"/>
      <c r="L760" s="547"/>
      <c r="M760" s="549"/>
      <c r="N760" s="550"/>
      <c r="O760" s="551"/>
    </row>
    <row r="761" spans="1:15" s="552" customFormat="1" ht="18.75" customHeight="1" x14ac:dyDescent="0.25">
      <c r="A761" s="543"/>
      <c r="B761" s="544"/>
      <c r="C761" s="513"/>
      <c r="D761" s="545" t="s">
        <v>45</v>
      </c>
      <c r="E761" s="514" t="s">
        <v>41</v>
      </c>
      <c r="F761" s="546">
        <v>2</v>
      </c>
      <c r="G761" s="547">
        <v>2.2000000000000002</v>
      </c>
      <c r="H761" s="548">
        <f t="shared" si="94"/>
        <v>4.4000000000000004</v>
      </c>
      <c r="I761" s="547"/>
      <c r="J761" s="549"/>
      <c r="K761" s="548"/>
      <c r="L761" s="547"/>
      <c r="M761" s="549"/>
      <c r="N761" s="550"/>
      <c r="O761" s="551"/>
    </row>
    <row r="762" spans="1:15" s="552" customFormat="1" ht="18.75" customHeight="1" x14ac:dyDescent="0.25">
      <c r="A762" s="543"/>
      <c r="B762" s="544"/>
      <c r="C762" s="513"/>
      <c r="D762" s="545" t="s">
        <v>47</v>
      </c>
      <c r="E762" s="514" t="s">
        <v>41</v>
      </c>
      <c r="F762" s="546">
        <v>2</v>
      </c>
      <c r="G762" s="547">
        <v>0.33</v>
      </c>
      <c r="H762" s="548">
        <f t="shared" si="94"/>
        <v>0.66</v>
      </c>
      <c r="I762" s="547"/>
      <c r="J762" s="549"/>
      <c r="K762" s="548"/>
      <c r="L762" s="547"/>
      <c r="M762" s="549"/>
      <c r="N762" s="550"/>
      <c r="O762" s="551"/>
    </row>
    <row r="763" spans="1:15" s="23" customFormat="1" ht="14.25" x14ac:dyDescent="0.2">
      <c r="A763" s="136"/>
      <c r="B763" s="128"/>
      <c r="C763" s="32"/>
      <c r="D763" s="123"/>
      <c r="E763" s="32"/>
      <c r="F763" s="119"/>
      <c r="G763" s="33"/>
      <c r="H763" s="106"/>
      <c r="I763" s="28"/>
      <c r="J763" s="107"/>
      <c r="K763" s="33"/>
      <c r="L763" s="33"/>
      <c r="M763" s="109"/>
      <c r="N763" s="91"/>
      <c r="O763" s="91"/>
    </row>
    <row r="764" spans="1:15" s="23" customFormat="1" ht="33.75" x14ac:dyDescent="0.2">
      <c r="A764" s="223" t="s">
        <v>39</v>
      </c>
      <c r="B764" s="224" t="s">
        <v>40</v>
      </c>
      <c r="C764" s="225" t="s">
        <v>383</v>
      </c>
      <c r="D764" s="226" t="s">
        <v>1052</v>
      </c>
      <c r="E764" s="225" t="s">
        <v>41</v>
      </c>
      <c r="F764" s="515">
        <f>'MEMÓRIA DE CÁLCULO'!S111</f>
        <v>6</v>
      </c>
      <c r="G764" s="228"/>
      <c r="H764" s="229">
        <f>ROUND(SUM(H765:H769),2)</f>
        <v>95.07</v>
      </c>
      <c r="I764" s="230">
        <f>ROUND(SUM(I765:I769),2)</f>
        <v>66.06</v>
      </c>
      <c r="J764" s="231">
        <f>(H764+I764)</f>
        <v>161.13</v>
      </c>
      <c r="K764" s="229">
        <f>F764*H764</f>
        <v>570.41999999999996</v>
      </c>
      <c r="L764" s="230">
        <f>F764*I764</f>
        <v>396.36</v>
      </c>
      <c r="M764" s="231">
        <f>K764+L764</f>
        <v>966.78</v>
      </c>
      <c r="N764" s="227">
        <f>M764*$N$7</f>
        <v>261.80402399999997</v>
      </c>
      <c r="O764" s="227">
        <f>M764+N764</f>
        <v>1228.584024</v>
      </c>
    </row>
    <row r="765" spans="1:15" s="552" customFormat="1" ht="18.75" customHeight="1" x14ac:dyDescent="0.25">
      <c r="A765" s="543"/>
      <c r="B765" s="544"/>
      <c r="C765" s="513">
        <v>2696</v>
      </c>
      <c r="D765" s="545" t="s">
        <v>765</v>
      </c>
      <c r="E765" s="514" t="s">
        <v>42</v>
      </c>
      <c r="F765" s="546">
        <v>3</v>
      </c>
      <c r="G765" s="547">
        <v>12.57</v>
      </c>
      <c r="H765" s="548"/>
      <c r="I765" s="547">
        <f>F765*G765</f>
        <v>37.71</v>
      </c>
      <c r="J765" s="549"/>
      <c r="K765" s="548"/>
      <c r="L765" s="547"/>
      <c r="M765" s="549"/>
      <c r="N765" s="550"/>
      <c r="O765" s="551"/>
    </row>
    <row r="766" spans="1:15" s="552" customFormat="1" ht="18.75" customHeight="1" x14ac:dyDescent="0.25">
      <c r="A766" s="543"/>
      <c r="B766" s="544"/>
      <c r="C766" s="513">
        <v>246</v>
      </c>
      <c r="D766" s="545" t="s">
        <v>766</v>
      </c>
      <c r="E766" s="514" t="s">
        <v>42</v>
      </c>
      <c r="F766" s="546">
        <v>3</v>
      </c>
      <c r="G766" s="547">
        <v>9.4499999999999993</v>
      </c>
      <c r="H766" s="548"/>
      <c r="I766" s="547">
        <f>F766*G766</f>
        <v>28.349999999999998</v>
      </c>
      <c r="J766" s="549"/>
      <c r="K766" s="548"/>
      <c r="L766" s="547"/>
      <c r="M766" s="549"/>
      <c r="N766" s="550"/>
      <c r="O766" s="551"/>
    </row>
    <row r="767" spans="1:15" s="552" customFormat="1" ht="18.75" customHeight="1" x14ac:dyDescent="0.25">
      <c r="A767" s="543"/>
      <c r="B767" s="544"/>
      <c r="C767" s="513"/>
      <c r="D767" s="545" t="s">
        <v>36</v>
      </c>
      <c r="E767" s="514" t="s">
        <v>48</v>
      </c>
      <c r="F767" s="546">
        <v>0.1</v>
      </c>
      <c r="G767" s="547">
        <v>2</v>
      </c>
      <c r="H767" s="548">
        <f t="shared" ref="H767:H769" si="95">F767*G767</f>
        <v>0.2</v>
      </c>
      <c r="I767" s="547"/>
      <c r="J767" s="549"/>
      <c r="K767" s="548"/>
      <c r="L767" s="547"/>
      <c r="M767" s="549"/>
      <c r="N767" s="550"/>
      <c r="O767" s="551"/>
    </row>
    <row r="768" spans="1:15" s="552" customFormat="1" ht="18.75" customHeight="1" x14ac:dyDescent="0.25">
      <c r="A768" s="543"/>
      <c r="B768" s="544"/>
      <c r="C768" s="513" t="s">
        <v>28</v>
      </c>
      <c r="D768" s="545" t="s">
        <v>486</v>
      </c>
      <c r="E768" s="514" t="s">
        <v>41</v>
      </c>
      <c r="F768" s="546">
        <v>1</v>
      </c>
      <c r="G768" s="547">
        <v>94.8</v>
      </c>
      <c r="H768" s="548">
        <f t="shared" si="95"/>
        <v>94.8</v>
      </c>
      <c r="I768" s="547"/>
      <c r="J768" s="549"/>
      <c r="K768" s="548"/>
      <c r="L768" s="547"/>
      <c r="M768" s="549"/>
      <c r="N768" s="550"/>
      <c r="O768" s="551"/>
    </row>
    <row r="769" spans="1:15" s="552" customFormat="1" ht="18.75" customHeight="1" x14ac:dyDescent="0.25">
      <c r="A769" s="543"/>
      <c r="B769" s="544"/>
      <c r="C769" s="513"/>
      <c r="D769" s="545" t="s">
        <v>35</v>
      </c>
      <c r="E769" s="514" t="s">
        <v>41</v>
      </c>
      <c r="F769" s="546">
        <v>0.56000000000000005</v>
      </c>
      <c r="G769" s="547">
        <v>0.13</v>
      </c>
      <c r="H769" s="548">
        <f t="shared" si="95"/>
        <v>7.2800000000000004E-2</v>
      </c>
      <c r="I769" s="547"/>
      <c r="J769" s="549"/>
      <c r="K769" s="548"/>
      <c r="L769" s="547"/>
      <c r="M769" s="549"/>
      <c r="N769" s="550"/>
      <c r="O769" s="551"/>
    </row>
    <row r="770" spans="1:15" s="23" customFormat="1" ht="14.25" x14ac:dyDescent="0.2">
      <c r="A770" s="136"/>
      <c r="B770" s="128"/>
      <c r="C770" s="32"/>
      <c r="D770" s="123"/>
      <c r="E770" s="32"/>
      <c r="F770" s="119"/>
      <c r="G770" s="33"/>
      <c r="H770" s="106"/>
      <c r="I770" s="28"/>
      <c r="J770" s="107"/>
      <c r="K770" s="33"/>
      <c r="L770" s="33"/>
      <c r="M770" s="109"/>
      <c r="N770" s="91"/>
      <c r="O770" s="91"/>
    </row>
    <row r="771" spans="1:15" s="23" customFormat="1" ht="14.25" x14ac:dyDescent="0.2">
      <c r="A771" s="136"/>
      <c r="B771" s="128"/>
      <c r="C771" s="32"/>
      <c r="D771" s="123"/>
      <c r="E771" s="32"/>
      <c r="F771" s="119"/>
      <c r="G771" s="33"/>
      <c r="H771" s="106"/>
      <c r="I771" s="28"/>
      <c r="J771" s="107"/>
      <c r="K771" s="33"/>
      <c r="L771" s="33"/>
      <c r="M771" s="109"/>
      <c r="N771" s="91"/>
      <c r="O771" s="91"/>
    </row>
    <row r="772" spans="1:15" s="23" customFormat="1" ht="33.75" x14ac:dyDescent="0.2">
      <c r="A772" s="223" t="s">
        <v>39</v>
      </c>
      <c r="B772" s="224" t="s">
        <v>52</v>
      </c>
      <c r="C772" s="225" t="s">
        <v>384</v>
      </c>
      <c r="D772" s="226" t="s">
        <v>205</v>
      </c>
      <c r="E772" s="225" t="s">
        <v>41</v>
      </c>
      <c r="F772" s="515">
        <f>'MEMÓRIA DE CÁLCULO'!V111</f>
        <v>1</v>
      </c>
      <c r="G772" s="228"/>
      <c r="H772" s="229">
        <f>ROUND(SUM(H773:H781),2)</f>
        <v>293.45999999999998</v>
      </c>
      <c r="I772" s="230">
        <f>ROUND(SUM(I773:I781),2)</f>
        <v>60.33</v>
      </c>
      <c r="J772" s="231">
        <f>(H772+I772)</f>
        <v>353.78999999999996</v>
      </c>
      <c r="K772" s="229">
        <f>F772*H772</f>
        <v>293.45999999999998</v>
      </c>
      <c r="L772" s="230">
        <f>F772*I772</f>
        <v>60.33</v>
      </c>
      <c r="M772" s="231">
        <f>K772+L772</f>
        <v>353.78999999999996</v>
      </c>
      <c r="N772" s="227">
        <f>M772*$N$7</f>
        <v>95.806331999999983</v>
      </c>
      <c r="O772" s="227">
        <f>M772+N772</f>
        <v>449.59633199999996</v>
      </c>
    </row>
    <row r="773" spans="1:15" s="552" customFormat="1" ht="18.75" customHeight="1" x14ac:dyDescent="0.25">
      <c r="A773" s="543"/>
      <c r="B773" s="544"/>
      <c r="C773" s="513">
        <v>2696</v>
      </c>
      <c r="D773" s="545" t="s">
        <v>765</v>
      </c>
      <c r="E773" s="514" t="s">
        <v>42</v>
      </c>
      <c r="F773" s="546">
        <v>2.74</v>
      </c>
      <c r="G773" s="547">
        <v>12.57</v>
      </c>
      <c r="H773" s="548"/>
      <c r="I773" s="547">
        <f>F773*G773</f>
        <v>34.441800000000001</v>
      </c>
      <c r="J773" s="549"/>
      <c r="K773" s="548"/>
      <c r="L773" s="547"/>
      <c r="M773" s="549"/>
      <c r="N773" s="550"/>
      <c r="O773" s="551"/>
    </row>
    <row r="774" spans="1:15" s="552" customFormat="1" ht="18.75" customHeight="1" x14ac:dyDescent="0.25">
      <c r="A774" s="543"/>
      <c r="B774" s="544"/>
      <c r="C774" s="513">
        <v>246</v>
      </c>
      <c r="D774" s="545" t="s">
        <v>766</v>
      </c>
      <c r="E774" s="514" t="s">
        <v>42</v>
      </c>
      <c r="F774" s="546">
        <v>2.74</v>
      </c>
      <c r="G774" s="547">
        <v>9.4499999999999993</v>
      </c>
      <c r="H774" s="548"/>
      <c r="I774" s="547">
        <f>F774*G774</f>
        <v>25.893000000000001</v>
      </c>
      <c r="J774" s="549"/>
      <c r="K774" s="548"/>
      <c r="L774" s="547"/>
      <c r="M774" s="549"/>
      <c r="N774" s="550"/>
      <c r="O774" s="551"/>
    </row>
    <row r="775" spans="1:15" s="552" customFormat="1" ht="18.75" customHeight="1" x14ac:dyDescent="0.25">
      <c r="A775" s="543"/>
      <c r="B775" s="544"/>
      <c r="C775" s="513" t="s">
        <v>28</v>
      </c>
      <c r="D775" s="545" t="s">
        <v>53</v>
      </c>
      <c r="E775" s="514" t="s">
        <v>41</v>
      </c>
      <c r="F775" s="546">
        <v>1</v>
      </c>
      <c r="G775" s="547">
        <v>203.23</v>
      </c>
      <c r="H775" s="548">
        <f>F775*G775</f>
        <v>203.23</v>
      </c>
      <c r="I775" s="547"/>
      <c r="J775" s="549"/>
      <c r="K775" s="548"/>
      <c r="L775" s="547"/>
      <c r="M775" s="549"/>
      <c r="N775" s="550"/>
      <c r="O775" s="551"/>
    </row>
    <row r="776" spans="1:15" s="552" customFormat="1" ht="18.75" customHeight="1" x14ac:dyDescent="0.25">
      <c r="A776" s="543"/>
      <c r="B776" s="544"/>
      <c r="C776" s="513"/>
      <c r="D776" s="545" t="s">
        <v>49</v>
      </c>
      <c r="E776" s="514" t="s">
        <v>41</v>
      </c>
      <c r="F776" s="546">
        <v>1</v>
      </c>
      <c r="G776" s="547">
        <v>67.290000000000006</v>
      </c>
      <c r="H776" s="548">
        <f t="shared" ref="H776:H781" si="96">F776*G776</f>
        <v>67.290000000000006</v>
      </c>
      <c r="I776" s="547"/>
      <c r="J776" s="549"/>
      <c r="K776" s="548"/>
      <c r="L776" s="547"/>
      <c r="M776" s="549"/>
      <c r="N776" s="550"/>
      <c r="O776" s="551"/>
    </row>
    <row r="777" spans="1:15" s="552" customFormat="1" ht="18.75" customHeight="1" x14ac:dyDescent="0.25">
      <c r="A777" s="543"/>
      <c r="B777" s="544"/>
      <c r="C777" s="513"/>
      <c r="D777" s="545" t="s">
        <v>50</v>
      </c>
      <c r="E777" s="514" t="s">
        <v>41</v>
      </c>
      <c r="F777" s="546">
        <v>1</v>
      </c>
      <c r="G777" s="547">
        <v>15.69</v>
      </c>
      <c r="H777" s="548">
        <f t="shared" si="96"/>
        <v>15.69</v>
      </c>
      <c r="I777" s="547"/>
      <c r="J777" s="549"/>
      <c r="K777" s="548"/>
      <c r="L777" s="547"/>
      <c r="M777" s="549"/>
      <c r="N777" s="550"/>
      <c r="O777" s="551"/>
    </row>
    <row r="778" spans="1:15" s="552" customFormat="1" ht="18.75" customHeight="1" x14ac:dyDescent="0.25">
      <c r="A778" s="543"/>
      <c r="B778" s="544"/>
      <c r="C778" s="513"/>
      <c r="D778" s="545" t="s">
        <v>45</v>
      </c>
      <c r="E778" s="514" t="s">
        <v>41</v>
      </c>
      <c r="F778" s="546">
        <v>2</v>
      </c>
      <c r="G778" s="547">
        <v>2.2000000000000002</v>
      </c>
      <c r="H778" s="548">
        <f t="shared" si="96"/>
        <v>4.4000000000000004</v>
      </c>
      <c r="I778" s="547"/>
      <c r="J778" s="549"/>
      <c r="K778" s="548"/>
      <c r="L778" s="547"/>
      <c r="M778" s="549"/>
      <c r="N778" s="550"/>
      <c r="O778" s="551"/>
    </row>
    <row r="779" spans="1:15" s="552" customFormat="1" ht="18.75" customHeight="1" x14ac:dyDescent="0.25">
      <c r="A779" s="543"/>
      <c r="B779" s="544"/>
      <c r="C779" s="513"/>
      <c r="D779" s="545" t="s">
        <v>46</v>
      </c>
      <c r="E779" s="514" t="s">
        <v>41</v>
      </c>
      <c r="F779" s="546">
        <v>1</v>
      </c>
      <c r="G779" s="547">
        <v>2.4</v>
      </c>
      <c r="H779" s="548">
        <f t="shared" si="96"/>
        <v>2.4</v>
      </c>
      <c r="I779" s="547"/>
      <c r="J779" s="549"/>
      <c r="K779" s="548"/>
      <c r="L779" s="547"/>
      <c r="M779" s="549"/>
      <c r="N779" s="550"/>
      <c r="O779" s="551"/>
    </row>
    <row r="780" spans="1:15" s="552" customFormat="1" ht="18.75" customHeight="1" x14ac:dyDescent="0.25">
      <c r="A780" s="543"/>
      <c r="B780" s="544"/>
      <c r="C780" s="513"/>
      <c r="D780" s="545" t="s">
        <v>47</v>
      </c>
      <c r="E780" s="514" t="s">
        <v>41</v>
      </c>
      <c r="F780" s="546">
        <v>2</v>
      </c>
      <c r="G780" s="547">
        <v>0.17</v>
      </c>
      <c r="H780" s="548">
        <f t="shared" si="96"/>
        <v>0.34</v>
      </c>
      <c r="I780" s="547"/>
      <c r="J780" s="549"/>
      <c r="K780" s="548"/>
      <c r="L780" s="547"/>
      <c r="M780" s="549"/>
      <c r="N780" s="550"/>
      <c r="O780" s="551"/>
    </row>
    <row r="781" spans="1:15" s="552" customFormat="1" ht="18.75" customHeight="1" x14ac:dyDescent="0.25">
      <c r="A781" s="543"/>
      <c r="B781" s="544"/>
      <c r="C781" s="513"/>
      <c r="D781" s="545" t="s">
        <v>35</v>
      </c>
      <c r="E781" s="514" t="s">
        <v>41</v>
      </c>
      <c r="F781" s="546">
        <v>0.84</v>
      </c>
      <c r="G781" s="547">
        <v>0.13</v>
      </c>
      <c r="H781" s="548">
        <f t="shared" si="96"/>
        <v>0.10920000000000001</v>
      </c>
      <c r="I781" s="547"/>
      <c r="J781" s="549"/>
      <c r="K781" s="548"/>
      <c r="L781" s="547"/>
      <c r="M781" s="549"/>
      <c r="N781" s="550"/>
      <c r="O781" s="551"/>
    </row>
    <row r="782" spans="1:15" s="23" customFormat="1" ht="14.25" x14ac:dyDescent="0.2">
      <c r="A782" s="136"/>
      <c r="B782" s="128"/>
      <c r="C782" s="32"/>
      <c r="D782" s="123"/>
      <c r="E782" s="32"/>
      <c r="F782" s="119"/>
      <c r="G782" s="33"/>
      <c r="H782" s="106"/>
      <c r="I782" s="28"/>
      <c r="J782" s="107"/>
      <c r="K782" s="33"/>
      <c r="L782" s="33"/>
      <c r="M782" s="109"/>
      <c r="N782" s="91"/>
      <c r="O782" s="91"/>
    </row>
    <row r="783" spans="1:15" s="23" customFormat="1" ht="22.5" x14ac:dyDescent="0.2">
      <c r="A783" s="223" t="s">
        <v>39</v>
      </c>
      <c r="B783" s="224" t="s">
        <v>402</v>
      </c>
      <c r="C783" s="225" t="s">
        <v>385</v>
      </c>
      <c r="D783" s="226" t="s">
        <v>1073</v>
      </c>
      <c r="E783" s="225" t="s">
        <v>56</v>
      </c>
      <c r="F783" s="515">
        <f>(3+3.8)*2</f>
        <v>13.6</v>
      </c>
      <c r="G783" s="228"/>
      <c r="H783" s="229">
        <f>ROUND(SUM(H784:H788),2)</f>
        <v>58.66</v>
      </c>
      <c r="I783" s="230">
        <f>ROUND(SUM(I784:I788),2)</f>
        <v>42.98</v>
      </c>
      <c r="J783" s="231">
        <f>(H783+I783)</f>
        <v>101.63999999999999</v>
      </c>
      <c r="K783" s="229">
        <f>F783*H783</f>
        <v>797.77599999999995</v>
      </c>
      <c r="L783" s="230">
        <f>F783*I783</f>
        <v>584.52799999999991</v>
      </c>
      <c r="M783" s="231">
        <f>K783+L783</f>
        <v>1382.3039999999999</v>
      </c>
      <c r="N783" s="227">
        <f>M783*$N$7</f>
        <v>374.32792319999993</v>
      </c>
      <c r="O783" s="227">
        <f>M783+N783</f>
        <v>1756.6319231999998</v>
      </c>
    </row>
    <row r="784" spans="1:15" s="552" customFormat="1" ht="15" customHeight="1" x14ac:dyDescent="0.25">
      <c r="A784" s="543"/>
      <c r="B784" s="544" t="s">
        <v>715</v>
      </c>
      <c r="C784" s="513">
        <v>4750</v>
      </c>
      <c r="D784" s="545" t="s">
        <v>714</v>
      </c>
      <c r="E784" s="514" t="s">
        <v>42</v>
      </c>
      <c r="F784" s="546">
        <v>2</v>
      </c>
      <c r="G784" s="547">
        <v>12.57</v>
      </c>
      <c r="H784" s="548"/>
      <c r="I784" s="547">
        <f>F784*G784</f>
        <v>25.14</v>
      </c>
      <c r="J784" s="549"/>
      <c r="K784" s="548"/>
      <c r="L784" s="547"/>
      <c r="M784" s="549"/>
      <c r="N784" s="550"/>
      <c r="O784" s="551"/>
    </row>
    <row r="785" spans="1:15" s="552" customFormat="1" ht="15" customHeight="1" x14ac:dyDescent="0.25">
      <c r="A785" s="543"/>
      <c r="B785" s="544" t="s">
        <v>658</v>
      </c>
      <c r="C785" s="513">
        <v>6111</v>
      </c>
      <c r="D785" s="545" t="s">
        <v>670</v>
      </c>
      <c r="E785" s="514" t="s">
        <v>42</v>
      </c>
      <c r="F785" s="546">
        <v>2</v>
      </c>
      <c r="G785" s="547">
        <v>8.92</v>
      </c>
      <c r="H785" s="548"/>
      <c r="I785" s="547">
        <f t="shared" ref="I785" si="97">F785*G785</f>
        <v>17.84</v>
      </c>
      <c r="J785" s="549"/>
      <c r="K785" s="548"/>
      <c r="L785" s="547"/>
      <c r="M785" s="549"/>
      <c r="N785" s="550"/>
      <c r="O785" s="551"/>
    </row>
    <row r="786" spans="1:15" s="552" customFormat="1" ht="18.75" customHeight="1" x14ac:dyDescent="0.25">
      <c r="A786" s="543"/>
      <c r="B786" s="544"/>
      <c r="C786" s="513"/>
      <c r="D786" s="545" t="s">
        <v>400</v>
      </c>
      <c r="E786" s="514" t="s">
        <v>233</v>
      </c>
      <c r="F786" s="546">
        <v>5.1999999999999998E-3</v>
      </c>
      <c r="G786" s="547">
        <v>54.27</v>
      </c>
      <c r="H786" s="548">
        <f>F786*G786</f>
        <v>0.28220400000000001</v>
      </c>
      <c r="I786" s="547"/>
      <c r="J786" s="549"/>
      <c r="K786" s="548"/>
      <c r="L786" s="547"/>
      <c r="M786" s="549"/>
      <c r="N786" s="550"/>
      <c r="O786" s="551"/>
    </row>
    <row r="787" spans="1:15" s="552" customFormat="1" ht="18.75" customHeight="1" x14ac:dyDescent="0.25">
      <c r="A787" s="543"/>
      <c r="B787" s="544"/>
      <c r="C787" s="513"/>
      <c r="D787" s="545" t="s">
        <v>232</v>
      </c>
      <c r="E787" s="514" t="s">
        <v>48</v>
      </c>
      <c r="F787" s="546">
        <v>2.27</v>
      </c>
      <c r="G787" s="547">
        <v>0.44</v>
      </c>
      <c r="H787" s="548">
        <f t="shared" ref="H787:H788" si="98">F787*G787</f>
        <v>0.99880000000000002</v>
      </c>
      <c r="I787" s="547"/>
      <c r="J787" s="549"/>
      <c r="K787" s="548"/>
      <c r="L787" s="547"/>
      <c r="M787" s="549"/>
      <c r="N787" s="550"/>
      <c r="O787" s="551"/>
    </row>
    <row r="788" spans="1:15" s="552" customFormat="1" ht="18.75" customHeight="1" x14ac:dyDescent="0.25">
      <c r="A788" s="543"/>
      <c r="B788" s="544" t="s">
        <v>403</v>
      </c>
      <c r="C788" s="513"/>
      <c r="D788" s="545" t="s">
        <v>401</v>
      </c>
      <c r="E788" s="514" t="s">
        <v>58</v>
      </c>
      <c r="F788" s="546">
        <v>0.6</v>
      </c>
      <c r="G788" s="547">
        <f>239.08*0.4</f>
        <v>95.632000000000005</v>
      </c>
      <c r="H788" s="548">
        <f t="shared" si="98"/>
        <v>57.379200000000004</v>
      </c>
      <c r="I788" s="547"/>
      <c r="J788" s="549"/>
      <c r="K788" s="548"/>
      <c r="L788" s="547"/>
      <c r="M788" s="549"/>
      <c r="N788" s="550"/>
      <c r="O788" s="551"/>
    </row>
    <row r="789" spans="1:15" s="23" customFormat="1" ht="14.25" x14ac:dyDescent="0.2">
      <c r="A789" s="136"/>
      <c r="B789" s="128"/>
      <c r="C789" s="32"/>
      <c r="D789" s="123"/>
      <c r="E789" s="32"/>
      <c r="F789" s="119"/>
      <c r="G789" s="33"/>
      <c r="H789" s="106"/>
      <c r="I789" s="28"/>
      <c r="J789" s="107"/>
      <c r="K789" s="33"/>
      <c r="L789" s="33"/>
      <c r="M789" s="109"/>
      <c r="N789" s="91"/>
      <c r="O789" s="91"/>
    </row>
    <row r="790" spans="1:15" s="23" customFormat="1" ht="22.5" x14ac:dyDescent="0.2">
      <c r="A790" s="223" t="s">
        <v>39</v>
      </c>
      <c r="B790" s="224" t="s">
        <v>404</v>
      </c>
      <c r="C790" s="225" t="s">
        <v>386</v>
      </c>
      <c r="D790" s="226" t="s">
        <v>1072</v>
      </c>
      <c r="E790" s="225" t="s">
        <v>41</v>
      </c>
      <c r="F790" s="515">
        <v>7</v>
      </c>
      <c r="G790" s="228"/>
      <c r="H790" s="229">
        <f>ROUND(SUM(H791:H793),2)</f>
        <v>0.11</v>
      </c>
      <c r="I790" s="230">
        <f>ROUND(SUM(I791:I793),2)</f>
        <v>21.49</v>
      </c>
      <c r="J790" s="231">
        <f>(H790+I790)</f>
        <v>21.599999999999998</v>
      </c>
      <c r="K790" s="229">
        <f>F790*H790</f>
        <v>0.77</v>
      </c>
      <c r="L790" s="230">
        <f>F790*I790</f>
        <v>150.42999999999998</v>
      </c>
      <c r="M790" s="231">
        <f>K790+L790</f>
        <v>151.19999999999999</v>
      </c>
      <c r="N790" s="227">
        <f>M790*$N$7</f>
        <v>40.944959999999995</v>
      </c>
      <c r="O790" s="227">
        <f>M790+N790</f>
        <v>192.14495999999997</v>
      </c>
    </row>
    <row r="791" spans="1:15" s="552" customFormat="1" ht="15" customHeight="1" x14ac:dyDescent="0.25">
      <c r="A791" s="543"/>
      <c r="B791" s="544" t="s">
        <v>715</v>
      </c>
      <c r="C791" s="513">
        <v>4750</v>
      </c>
      <c r="D791" s="545" t="s">
        <v>714</v>
      </c>
      <c r="E791" s="514" t="s">
        <v>42</v>
      </c>
      <c r="F791" s="546">
        <v>1</v>
      </c>
      <c r="G791" s="547">
        <v>12.57</v>
      </c>
      <c r="H791" s="548"/>
      <c r="I791" s="547">
        <f>F791*G791</f>
        <v>12.57</v>
      </c>
      <c r="J791" s="549"/>
      <c r="K791" s="548"/>
      <c r="L791" s="547"/>
      <c r="M791" s="549"/>
      <c r="N791" s="550"/>
      <c r="O791" s="551"/>
    </row>
    <row r="792" spans="1:15" s="552" customFormat="1" ht="15" customHeight="1" x14ac:dyDescent="0.25">
      <c r="A792" s="543"/>
      <c r="B792" s="544" t="s">
        <v>658</v>
      </c>
      <c r="C792" s="513">
        <v>6111</v>
      </c>
      <c r="D792" s="545" t="s">
        <v>670</v>
      </c>
      <c r="E792" s="514" t="s">
        <v>42</v>
      </c>
      <c r="F792" s="546">
        <v>1</v>
      </c>
      <c r="G792" s="547">
        <v>8.92</v>
      </c>
      <c r="H792" s="548"/>
      <c r="I792" s="547">
        <f t="shared" ref="I792" si="99">F792*G792</f>
        <v>8.92</v>
      </c>
      <c r="J792" s="549"/>
      <c r="K792" s="548"/>
      <c r="L792" s="547"/>
      <c r="M792" s="549"/>
      <c r="N792" s="550"/>
      <c r="O792" s="551"/>
    </row>
    <row r="793" spans="1:15" s="552" customFormat="1" ht="15" customHeight="1" x14ac:dyDescent="0.25">
      <c r="A793" s="543"/>
      <c r="B793" s="544"/>
      <c r="C793" s="513"/>
      <c r="D793" s="545" t="s">
        <v>35</v>
      </c>
      <c r="E793" s="514" t="s">
        <v>41</v>
      </c>
      <c r="F793" s="546">
        <v>0.84</v>
      </c>
      <c r="G793" s="547">
        <v>0.13</v>
      </c>
      <c r="H793" s="548">
        <f t="shared" ref="H793" si="100">F793*G793</f>
        <v>0.10920000000000001</v>
      </c>
      <c r="I793" s="547"/>
      <c r="J793" s="549"/>
      <c r="K793" s="548"/>
      <c r="L793" s="547"/>
      <c r="M793" s="549"/>
      <c r="N793" s="550"/>
      <c r="O793" s="551"/>
    </row>
    <row r="794" spans="1:15" s="23" customFormat="1" ht="14.25" x14ac:dyDescent="0.2">
      <c r="A794" s="136"/>
      <c r="B794" s="128"/>
      <c r="C794" s="32"/>
      <c r="D794" s="123"/>
      <c r="E794" s="32"/>
      <c r="F794" s="119"/>
      <c r="G794" s="33"/>
      <c r="H794" s="106"/>
      <c r="I794" s="28"/>
      <c r="J794" s="107"/>
      <c r="K794" s="33"/>
      <c r="L794" s="33"/>
      <c r="M794" s="109"/>
      <c r="N794" s="91"/>
      <c r="O794" s="91"/>
    </row>
    <row r="795" spans="1:15" s="23" customFormat="1" ht="22.5" x14ac:dyDescent="0.2">
      <c r="A795" s="223" t="s">
        <v>78</v>
      </c>
      <c r="B795" s="224" t="s">
        <v>1120</v>
      </c>
      <c r="C795" s="225" t="s">
        <v>386</v>
      </c>
      <c r="D795" s="226" t="s">
        <v>1152</v>
      </c>
      <c r="E795" s="225" t="s">
        <v>41</v>
      </c>
      <c r="F795" s="515">
        <v>2</v>
      </c>
      <c r="G795" s="228"/>
      <c r="H795" s="229">
        <f>ROUND(SUM(H796:H802),2)</f>
        <v>64.63</v>
      </c>
      <c r="I795" s="230">
        <f>ROUND(SUM(I796:I802),2)</f>
        <v>68.77</v>
      </c>
      <c r="J795" s="231">
        <f>(H795+I795)</f>
        <v>133.39999999999998</v>
      </c>
      <c r="K795" s="229">
        <f>F795*H795</f>
        <v>129.26</v>
      </c>
      <c r="L795" s="230">
        <f>F795*I795</f>
        <v>137.54</v>
      </c>
      <c r="M795" s="231">
        <f>K795+L795</f>
        <v>266.79999999999995</v>
      </c>
      <c r="N795" s="227">
        <f>M795*$N$7</f>
        <v>72.249439999999979</v>
      </c>
      <c r="O795" s="227">
        <f>M795+N795</f>
        <v>339.04943999999995</v>
      </c>
    </row>
    <row r="796" spans="1:15" s="552" customFormat="1" ht="18.75" customHeight="1" x14ac:dyDescent="0.25">
      <c r="A796" s="543"/>
      <c r="B796" s="544" t="s">
        <v>715</v>
      </c>
      <c r="C796" s="513">
        <v>6111</v>
      </c>
      <c r="D796" s="545" t="s">
        <v>1127</v>
      </c>
      <c r="E796" s="514" t="s">
        <v>42</v>
      </c>
      <c r="F796" s="546">
        <v>3.2</v>
      </c>
      <c r="G796" s="547">
        <v>8.92</v>
      </c>
      <c r="H796" s="548"/>
      <c r="I796" s="547">
        <f>F796*G796</f>
        <v>28.544</v>
      </c>
      <c r="J796" s="549"/>
      <c r="K796" s="548"/>
      <c r="L796" s="547"/>
      <c r="M796" s="549"/>
      <c r="N796" s="550"/>
      <c r="O796" s="551"/>
    </row>
    <row r="797" spans="1:15" s="552" customFormat="1" ht="18.75" customHeight="1" x14ac:dyDescent="0.25">
      <c r="A797" s="543"/>
      <c r="B797" s="544" t="s">
        <v>715</v>
      </c>
      <c r="C797" s="513">
        <v>2696</v>
      </c>
      <c r="D797" s="545" t="s">
        <v>1128</v>
      </c>
      <c r="E797" s="514" t="s">
        <v>91</v>
      </c>
      <c r="F797" s="546">
        <v>3.2</v>
      </c>
      <c r="G797" s="547">
        <v>12.57</v>
      </c>
      <c r="H797" s="548"/>
      <c r="I797" s="547">
        <f>F797*G797</f>
        <v>40.224000000000004</v>
      </c>
      <c r="J797" s="549"/>
      <c r="K797" s="548"/>
      <c r="L797" s="547"/>
      <c r="M797" s="549"/>
      <c r="N797" s="550"/>
      <c r="O797" s="551"/>
    </row>
    <row r="798" spans="1:15" s="552" customFormat="1" ht="18.75" customHeight="1" x14ac:dyDescent="0.25">
      <c r="A798" s="543"/>
      <c r="B798" s="544" t="s">
        <v>1121</v>
      </c>
      <c r="C798" s="513">
        <v>3146</v>
      </c>
      <c r="D798" s="545" t="s">
        <v>1122</v>
      </c>
      <c r="E798" s="514" t="s">
        <v>684</v>
      </c>
      <c r="F798" s="546">
        <v>7.5999999999999998E-2</v>
      </c>
      <c r="G798" s="547">
        <v>2.0699999999999998</v>
      </c>
      <c r="H798" s="548">
        <f>F798*G798</f>
        <v>0.15731999999999999</v>
      </c>
      <c r="I798" s="547"/>
      <c r="J798" s="549"/>
      <c r="K798" s="548"/>
      <c r="L798" s="547"/>
      <c r="M798" s="549"/>
      <c r="N798" s="550"/>
      <c r="O798" s="551"/>
    </row>
    <row r="799" spans="1:15" s="552" customFormat="1" ht="18.75" customHeight="1" x14ac:dyDescent="0.25">
      <c r="A799" s="543"/>
      <c r="B799" s="544" t="s">
        <v>715</v>
      </c>
      <c r="C799" s="513">
        <v>4351</v>
      </c>
      <c r="D799" s="545" t="s">
        <v>1123</v>
      </c>
      <c r="E799" s="514" t="s">
        <v>684</v>
      </c>
      <c r="F799" s="546">
        <v>2</v>
      </c>
      <c r="G799" s="547">
        <v>2.12</v>
      </c>
      <c r="H799" s="548">
        <f t="shared" ref="H799:H801" si="101">F799*G799</f>
        <v>4.24</v>
      </c>
      <c r="I799" s="547"/>
      <c r="J799" s="549"/>
      <c r="K799" s="548"/>
      <c r="L799" s="547"/>
      <c r="M799" s="549"/>
      <c r="N799" s="550"/>
      <c r="O799" s="551"/>
    </row>
    <row r="800" spans="1:15" s="552" customFormat="1" ht="18.75" customHeight="1" x14ac:dyDescent="0.25">
      <c r="A800" s="543"/>
      <c r="B800" s="544" t="s">
        <v>1121</v>
      </c>
      <c r="C800" s="513">
        <v>6021</v>
      </c>
      <c r="D800" s="545" t="s">
        <v>1124</v>
      </c>
      <c r="E800" s="514" t="s">
        <v>684</v>
      </c>
      <c r="F800" s="546">
        <v>1</v>
      </c>
      <c r="G800" s="547">
        <v>41.93</v>
      </c>
      <c r="H800" s="548">
        <f t="shared" si="101"/>
        <v>41.93</v>
      </c>
      <c r="I800" s="547"/>
      <c r="J800" s="549"/>
      <c r="K800" s="548"/>
      <c r="L800" s="547"/>
      <c r="M800" s="549"/>
      <c r="N800" s="550"/>
      <c r="O800" s="551"/>
    </row>
    <row r="801" spans="1:15" s="552" customFormat="1" ht="18.75" customHeight="1" x14ac:dyDescent="0.25">
      <c r="A801" s="543"/>
      <c r="B801" s="544" t="s">
        <v>1121</v>
      </c>
      <c r="C801" s="513">
        <v>11683</v>
      </c>
      <c r="D801" s="545" t="s">
        <v>1126</v>
      </c>
      <c r="E801" s="514" t="s">
        <v>684</v>
      </c>
      <c r="F801" s="546">
        <v>1</v>
      </c>
      <c r="G801" s="547">
        <v>18.3</v>
      </c>
      <c r="H801" s="548">
        <f t="shared" si="101"/>
        <v>18.3</v>
      </c>
      <c r="I801" s="547"/>
      <c r="J801" s="549"/>
      <c r="K801" s="548"/>
      <c r="L801" s="547"/>
      <c r="M801" s="549"/>
      <c r="N801" s="550"/>
      <c r="O801" s="551"/>
    </row>
    <row r="802" spans="1:15" s="552" customFormat="1" ht="18.75" customHeight="1" x14ac:dyDescent="0.25">
      <c r="A802" s="543"/>
      <c r="B802" s="544"/>
      <c r="C802" s="513"/>
      <c r="D802" s="545"/>
      <c r="E802" s="514"/>
      <c r="F802" s="546"/>
      <c r="G802" s="547"/>
      <c r="H802" s="548"/>
      <c r="I802" s="547"/>
      <c r="J802" s="549"/>
      <c r="K802" s="548"/>
      <c r="L802" s="547"/>
      <c r="M802" s="549"/>
      <c r="N802" s="550"/>
      <c r="O802" s="551"/>
    </row>
    <row r="803" spans="1:15" s="23" customFormat="1" ht="14.25" x14ac:dyDescent="0.2">
      <c r="A803" s="135"/>
      <c r="B803" s="120"/>
      <c r="C803" s="122"/>
      <c r="D803" s="124" t="s">
        <v>54</v>
      </c>
      <c r="E803" s="122"/>
      <c r="F803" s="90"/>
      <c r="G803" s="116"/>
      <c r="H803" s="102"/>
      <c r="I803" s="35"/>
      <c r="J803" s="103"/>
      <c r="K803" s="141"/>
      <c r="L803" s="35"/>
      <c r="M803" s="103"/>
      <c r="N803" s="90"/>
      <c r="O803" s="90"/>
    </row>
    <row r="804" spans="1:15" s="23" customFormat="1" ht="14.25" x14ac:dyDescent="0.2">
      <c r="A804" s="13"/>
      <c r="B804" s="14"/>
      <c r="C804" s="175"/>
      <c r="D804" s="16"/>
      <c r="E804" s="21"/>
      <c r="F804" s="18"/>
      <c r="G804" s="21"/>
      <c r="H804" s="22"/>
      <c r="I804" s="143"/>
      <c r="J804" s="112"/>
      <c r="K804" s="21"/>
      <c r="L804" s="22"/>
      <c r="M804" s="112"/>
      <c r="N804" s="20"/>
      <c r="O804" s="20"/>
    </row>
    <row r="805" spans="1:15" s="23" customFormat="1" ht="33.75" x14ac:dyDescent="0.2">
      <c r="A805" s="223"/>
      <c r="B805" s="224" t="s">
        <v>55</v>
      </c>
      <c r="C805" s="225" t="s">
        <v>387</v>
      </c>
      <c r="D805" s="226" t="s">
        <v>1111</v>
      </c>
      <c r="E805" s="225" t="s">
        <v>41</v>
      </c>
      <c r="F805" s="515">
        <f>'MEMÓRIA DE CÁLCULO'!AF111</f>
        <v>7</v>
      </c>
      <c r="G805" s="228"/>
      <c r="H805" s="229">
        <f>ROUND(SUM(H806:H807),2)</f>
        <v>74.319999999999993</v>
      </c>
      <c r="I805" s="230">
        <f>ROUND(SUM(I806:I807),2)</f>
        <v>6.29</v>
      </c>
      <c r="J805" s="231">
        <f>(H805+I805)</f>
        <v>80.61</v>
      </c>
      <c r="K805" s="229">
        <f>F805*H805</f>
        <v>520.24</v>
      </c>
      <c r="L805" s="230">
        <f>F805*I805</f>
        <v>44.03</v>
      </c>
      <c r="M805" s="231">
        <f>K805+L805</f>
        <v>564.27</v>
      </c>
      <c r="N805" s="227">
        <f>M805*$N$7</f>
        <v>152.804316</v>
      </c>
      <c r="O805" s="227">
        <f>M805+N805</f>
        <v>717.07431599999995</v>
      </c>
    </row>
    <row r="806" spans="1:15" s="552" customFormat="1" ht="15" customHeight="1" x14ac:dyDescent="0.25">
      <c r="A806" s="543"/>
      <c r="B806" s="544" t="s">
        <v>715</v>
      </c>
      <c r="C806" s="513">
        <v>4750</v>
      </c>
      <c r="D806" s="545" t="s">
        <v>714</v>
      </c>
      <c r="E806" s="514" t="s">
        <v>42</v>
      </c>
      <c r="F806" s="546">
        <v>0.5</v>
      </c>
      <c r="G806" s="547">
        <v>12.57</v>
      </c>
      <c r="H806" s="548"/>
      <c r="I806" s="547">
        <f>F806*G806</f>
        <v>6.2850000000000001</v>
      </c>
      <c r="J806" s="549"/>
      <c r="K806" s="548"/>
      <c r="L806" s="547"/>
      <c r="M806" s="549"/>
      <c r="N806" s="550"/>
      <c r="O806" s="551"/>
    </row>
    <row r="807" spans="1:15" s="552" customFormat="1" ht="23.25" customHeight="1" x14ac:dyDescent="0.25">
      <c r="A807" s="543"/>
      <c r="B807" s="544"/>
      <c r="C807" s="513" t="s">
        <v>28</v>
      </c>
      <c r="D807" s="545" t="str">
        <f>D805</f>
        <v>Papeleira em metal cromado de parafusar - referência: linha Deca Flex 2020 ou similar, que apresente características visuais e materiais de fabricação idênticos - instalado junto a cada bacia sanitária</v>
      </c>
      <c r="E807" s="514" t="s">
        <v>56</v>
      </c>
      <c r="F807" s="546">
        <v>1</v>
      </c>
      <c r="G807" s="547">
        <v>74.319999999999993</v>
      </c>
      <c r="H807" s="548">
        <f>F807*G807</f>
        <v>74.319999999999993</v>
      </c>
      <c r="I807" s="547"/>
      <c r="J807" s="549"/>
      <c r="K807" s="548"/>
      <c r="L807" s="547"/>
      <c r="M807" s="549"/>
      <c r="N807" s="550"/>
      <c r="O807" s="551"/>
    </row>
    <row r="808" spans="1:15" s="23" customFormat="1" ht="14.25" x14ac:dyDescent="0.2">
      <c r="A808" s="136"/>
      <c r="B808" s="128"/>
      <c r="C808" s="32"/>
      <c r="D808" s="123"/>
      <c r="E808" s="32"/>
      <c r="F808" s="119"/>
      <c r="G808" s="33"/>
      <c r="H808" s="106"/>
      <c r="I808" s="28"/>
      <c r="J808" s="107"/>
      <c r="K808" s="33"/>
      <c r="L808" s="33"/>
      <c r="M808" s="109"/>
      <c r="N808" s="91"/>
      <c r="O808" s="91"/>
    </row>
    <row r="809" spans="1:15" s="23" customFormat="1" ht="22.5" x14ac:dyDescent="0.2">
      <c r="A809" s="223"/>
      <c r="B809" s="224" t="s">
        <v>55</v>
      </c>
      <c r="C809" s="225" t="s">
        <v>388</v>
      </c>
      <c r="D809" s="226" t="s">
        <v>1112</v>
      </c>
      <c r="E809" s="225" t="s">
        <v>41</v>
      </c>
      <c r="F809" s="515">
        <f>'MEMÓRIA DE CÁLCULO'!AG111</f>
        <v>6</v>
      </c>
      <c r="G809" s="228"/>
      <c r="H809" s="229">
        <f>ROUND(SUM(H810:H811),2)</f>
        <v>13.4</v>
      </c>
      <c r="I809" s="230">
        <f>ROUND(SUM(I810:I811),2)</f>
        <v>12.57</v>
      </c>
      <c r="J809" s="231">
        <f>(H809+I809)</f>
        <v>25.97</v>
      </c>
      <c r="K809" s="229">
        <f>F809*H809</f>
        <v>80.400000000000006</v>
      </c>
      <c r="L809" s="230">
        <f>F809*I809</f>
        <v>75.42</v>
      </c>
      <c r="M809" s="231">
        <f>K809+L809</f>
        <v>155.82</v>
      </c>
      <c r="N809" s="227">
        <f>M809*$N$7</f>
        <v>42.196055999999999</v>
      </c>
      <c r="O809" s="227">
        <f>M809+N809</f>
        <v>198.01605599999999</v>
      </c>
    </row>
    <row r="810" spans="1:15" s="552" customFormat="1" ht="15" customHeight="1" x14ac:dyDescent="0.25">
      <c r="A810" s="543"/>
      <c r="B810" s="544" t="s">
        <v>715</v>
      </c>
      <c r="C810" s="513">
        <v>4750</v>
      </c>
      <c r="D810" s="545" t="s">
        <v>714</v>
      </c>
      <c r="E810" s="514" t="s">
        <v>42</v>
      </c>
      <c r="F810" s="546">
        <v>1</v>
      </c>
      <c r="G810" s="547">
        <v>12.57</v>
      </c>
      <c r="H810" s="548"/>
      <c r="I810" s="547">
        <f>F810*G810</f>
        <v>12.57</v>
      </c>
      <c r="J810" s="549"/>
      <c r="K810" s="548"/>
      <c r="L810" s="547"/>
      <c r="M810" s="549"/>
      <c r="N810" s="550"/>
      <c r="O810" s="551"/>
    </row>
    <row r="811" spans="1:15" s="552" customFormat="1" ht="15" customHeight="1" x14ac:dyDescent="0.25">
      <c r="A811" s="543"/>
      <c r="B811" s="544"/>
      <c r="C811" s="513"/>
      <c r="D811" s="545" t="str">
        <f>D809</f>
        <v>Saboneteira de plástico para sabonete líquido - referência:  Columbus ou similar - 02 em cada IS coletiva + 01 na IS PNE + 01 no consultório</v>
      </c>
      <c r="E811" s="514" t="s">
        <v>42</v>
      </c>
      <c r="F811" s="546">
        <v>1</v>
      </c>
      <c r="G811" s="547">
        <v>13.4</v>
      </c>
      <c r="H811" s="548">
        <f>F811*G811</f>
        <v>13.4</v>
      </c>
      <c r="I811" s="547"/>
      <c r="J811" s="549"/>
      <c r="K811" s="548"/>
      <c r="L811" s="547"/>
      <c r="M811" s="549"/>
      <c r="N811" s="550"/>
      <c r="O811" s="551"/>
    </row>
    <row r="812" spans="1:15" s="23" customFormat="1" ht="14.25" x14ac:dyDescent="0.2">
      <c r="A812" s="136"/>
      <c r="B812" s="128"/>
      <c r="C812" s="32"/>
      <c r="D812" s="123"/>
      <c r="E812" s="32"/>
      <c r="F812" s="119"/>
      <c r="G812" s="33"/>
      <c r="H812" s="106"/>
      <c r="I812" s="28"/>
      <c r="J812" s="107"/>
      <c r="K812" s="33"/>
      <c r="L812" s="33"/>
      <c r="M812" s="109"/>
      <c r="N812" s="91"/>
      <c r="O812" s="91"/>
    </row>
    <row r="813" spans="1:15" s="23" customFormat="1" ht="33.75" x14ac:dyDescent="0.2">
      <c r="A813" s="223"/>
      <c r="B813" s="224" t="s">
        <v>55</v>
      </c>
      <c r="C813" s="225" t="s">
        <v>389</v>
      </c>
      <c r="D813" s="226" t="s">
        <v>1113</v>
      </c>
      <c r="E813" s="225" t="s">
        <v>41</v>
      </c>
      <c r="F813" s="515">
        <f>'MEMÓRIA DE CÁLCULO'!AH111</f>
        <v>6</v>
      </c>
      <c r="G813" s="228"/>
      <c r="H813" s="229">
        <f>ROUND(SUM(H814:H816),2)</f>
        <v>22.61</v>
      </c>
      <c r="I813" s="230">
        <f>ROUND(SUM(I814:I816),2)</f>
        <v>12.57</v>
      </c>
      <c r="J813" s="231">
        <f>(H813+I813)</f>
        <v>35.18</v>
      </c>
      <c r="K813" s="229">
        <f>F813*H813</f>
        <v>135.66</v>
      </c>
      <c r="L813" s="230">
        <f>F813*I813</f>
        <v>75.42</v>
      </c>
      <c r="M813" s="231">
        <f>K813+L813</f>
        <v>211.07999999999998</v>
      </c>
      <c r="N813" s="227">
        <f>M813*$N$7</f>
        <v>57.16046399999999</v>
      </c>
      <c r="O813" s="227">
        <f>M813+N813</f>
        <v>268.24046399999997</v>
      </c>
    </row>
    <row r="814" spans="1:15" s="552" customFormat="1" ht="15" customHeight="1" x14ac:dyDescent="0.25">
      <c r="A814" s="543"/>
      <c r="B814" s="544" t="s">
        <v>715</v>
      </c>
      <c r="C814" s="513">
        <v>4750</v>
      </c>
      <c r="D814" s="545" t="s">
        <v>714</v>
      </c>
      <c r="E814" s="514" t="s">
        <v>42</v>
      </c>
      <c r="F814" s="546">
        <v>1</v>
      </c>
      <c r="G814" s="547">
        <v>12.57</v>
      </c>
      <c r="H814" s="548"/>
      <c r="I814" s="547">
        <f>F814*G814</f>
        <v>12.57</v>
      </c>
      <c r="J814" s="549"/>
      <c r="K814" s="548"/>
      <c r="L814" s="547"/>
      <c r="M814" s="549"/>
      <c r="N814" s="550"/>
      <c r="O814" s="551"/>
    </row>
    <row r="815" spans="1:15" s="552" customFormat="1" ht="15" customHeight="1" x14ac:dyDescent="0.25">
      <c r="A815" s="543"/>
      <c r="B815" s="544"/>
      <c r="C815" s="513"/>
      <c r="D815" s="545" t="str">
        <f>D813</f>
        <v>Dispenser para papel toalha, linha standard - Fornecimento e instalação  - Referência Técnica: Columbus ou similar - 02 em cada IS coletiva + 01 na IS PNE + 01 no consultório</v>
      </c>
      <c r="E815" s="514" t="s">
        <v>42</v>
      </c>
      <c r="F815" s="546">
        <v>1</v>
      </c>
      <c r="G815" s="547">
        <v>22.61</v>
      </c>
      <c r="H815" s="548">
        <f>F815*G815</f>
        <v>22.61</v>
      </c>
      <c r="I815" s="547"/>
      <c r="J815" s="549"/>
      <c r="K815" s="548"/>
      <c r="L815" s="547"/>
      <c r="M815" s="549"/>
      <c r="N815" s="550"/>
      <c r="O815" s="551"/>
    </row>
    <row r="816" spans="1:15" s="23" customFormat="1" ht="14.25" x14ac:dyDescent="0.2">
      <c r="A816" s="136"/>
      <c r="B816" s="128"/>
      <c r="C816" s="32"/>
      <c r="D816" s="123"/>
      <c r="E816" s="32"/>
      <c r="F816" s="119"/>
      <c r="G816" s="33"/>
      <c r="H816" s="106"/>
      <c r="I816" s="28"/>
      <c r="J816" s="107"/>
      <c r="K816" s="33"/>
      <c r="L816" s="33"/>
      <c r="M816" s="109"/>
      <c r="N816" s="91"/>
      <c r="O816" s="91"/>
    </row>
    <row r="817" spans="1:15" s="23" customFormat="1" ht="33.75" x14ac:dyDescent="0.2">
      <c r="A817" s="223"/>
      <c r="B817" s="224" t="s">
        <v>55</v>
      </c>
      <c r="C817" s="225" t="s">
        <v>390</v>
      </c>
      <c r="D817" s="226" t="s">
        <v>1114</v>
      </c>
      <c r="E817" s="225" t="s">
        <v>41</v>
      </c>
      <c r="F817" s="515">
        <f>'MEMÓRIA DE CÁLCULO'!AE111</f>
        <v>11</v>
      </c>
      <c r="G817" s="228"/>
      <c r="H817" s="229">
        <f>ROUND(SUM(H818:H819),2)</f>
        <v>40.08</v>
      </c>
      <c r="I817" s="230">
        <f>ROUND(SUM(I818:I819),2)</f>
        <v>12.57</v>
      </c>
      <c r="J817" s="231">
        <f>(H817+I817)</f>
        <v>52.65</v>
      </c>
      <c r="K817" s="229">
        <f>F817*H817</f>
        <v>440.88</v>
      </c>
      <c r="L817" s="230">
        <f>F817*I817</f>
        <v>138.27000000000001</v>
      </c>
      <c r="M817" s="231">
        <f>K817+L817</f>
        <v>579.15</v>
      </c>
      <c r="N817" s="227">
        <f>M817*$N$7</f>
        <v>156.83381999999997</v>
      </c>
      <c r="O817" s="227">
        <f>M817+N817</f>
        <v>735.98381999999992</v>
      </c>
    </row>
    <row r="818" spans="1:15" s="552" customFormat="1" ht="15" customHeight="1" x14ac:dyDescent="0.25">
      <c r="A818" s="543"/>
      <c r="B818" s="544" t="s">
        <v>715</v>
      </c>
      <c r="C818" s="513">
        <v>4750</v>
      </c>
      <c r="D818" s="545" t="s">
        <v>714</v>
      </c>
      <c r="E818" s="514" t="s">
        <v>42</v>
      </c>
      <c r="F818" s="546">
        <v>1</v>
      </c>
      <c r="G818" s="547">
        <v>12.57</v>
      </c>
      <c r="H818" s="548"/>
      <c r="I818" s="547">
        <f>F818*G818</f>
        <v>12.57</v>
      </c>
      <c r="J818" s="549"/>
      <c r="K818" s="548"/>
      <c r="L818" s="547"/>
      <c r="M818" s="549"/>
      <c r="N818" s="550"/>
      <c r="O818" s="551"/>
    </row>
    <row r="819" spans="1:15" s="552" customFormat="1" ht="22.5" customHeight="1" x14ac:dyDescent="0.25">
      <c r="A819" s="543"/>
      <c r="B819" s="544"/>
      <c r="C819" s="513" t="s">
        <v>28</v>
      </c>
      <c r="D819" s="545" t="str">
        <f>D817</f>
        <v>Toalheiro tipo gancho em metal cromado de parafusar - referêcnia: linha Deca Flex 2060 ou similar - instalados um junto a cada bacia + 02 junto a cada bancada das IS coletivas</v>
      </c>
      <c r="E819" s="514" t="s">
        <v>57</v>
      </c>
      <c r="F819" s="546">
        <v>1</v>
      </c>
      <c r="G819" s="547">
        <v>40.08</v>
      </c>
      <c r="H819" s="548">
        <f>F819*G819</f>
        <v>40.08</v>
      </c>
      <c r="I819" s="547"/>
      <c r="J819" s="549"/>
      <c r="K819" s="548"/>
      <c r="L819" s="547"/>
      <c r="M819" s="549"/>
      <c r="N819" s="550"/>
      <c r="O819" s="551"/>
    </row>
    <row r="820" spans="1:15" s="12" customFormat="1" ht="12.75" x14ac:dyDescent="0.25">
      <c r="A820" s="136"/>
      <c r="B820" s="128"/>
      <c r="C820" s="32"/>
      <c r="D820" s="123"/>
      <c r="E820" s="32"/>
      <c r="F820" s="119"/>
      <c r="G820" s="33"/>
      <c r="H820" s="106"/>
      <c r="I820" s="28"/>
      <c r="J820" s="107"/>
      <c r="K820" s="33"/>
      <c r="L820" s="33"/>
      <c r="M820" s="109"/>
      <c r="N820" s="91"/>
      <c r="O820" s="91"/>
    </row>
    <row r="821" spans="1:15" s="23" customFormat="1" ht="22.5" x14ac:dyDescent="0.2">
      <c r="A821" s="223"/>
      <c r="B821" s="224" t="s">
        <v>26</v>
      </c>
      <c r="C821" s="225" t="s">
        <v>391</v>
      </c>
      <c r="D821" s="226" t="s">
        <v>399</v>
      </c>
      <c r="E821" s="225" t="s">
        <v>41</v>
      </c>
      <c r="F821" s="515">
        <v>8</v>
      </c>
      <c r="G821" s="228"/>
      <c r="H821" s="229"/>
      <c r="I821" s="230">
        <f>ROUND(SUM(I822:I822),2)</f>
        <v>25.14</v>
      </c>
      <c r="J821" s="231">
        <f>(H821+I821)</f>
        <v>25.14</v>
      </c>
      <c r="K821" s="229">
        <f>F821*H821</f>
        <v>0</v>
      </c>
      <c r="L821" s="230">
        <f>F821*I821</f>
        <v>201.12</v>
      </c>
      <c r="M821" s="231">
        <f>K821+L821</f>
        <v>201.12</v>
      </c>
      <c r="N821" s="227">
        <f>M821*$N$7</f>
        <v>54.463296</v>
      </c>
      <c r="O821" s="227">
        <f>M821+N821</f>
        <v>255.58329600000002</v>
      </c>
    </row>
    <row r="822" spans="1:15" s="552" customFormat="1" ht="15" customHeight="1" x14ac:dyDescent="0.25">
      <c r="A822" s="543"/>
      <c r="B822" s="544" t="s">
        <v>715</v>
      </c>
      <c r="C822" s="513">
        <v>4750</v>
      </c>
      <c r="D822" s="545" t="s">
        <v>714</v>
      </c>
      <c r="E822" s="514" t="s">
        <v>42</v>
      </c>
      <c r="F822" s="546">
        <v>2</v>
      </c>
      <c r="G822" s="547">
        <v>12.57</v>
      </c>
      <c r="H822" s="548"/>
      <c r="I822" s="547">
        <f>F822*G822</f>
        <v>25.14</v>
      </c>
      <c r="J822" s="549"/>
      <c r="K822" s="548"/>
      <c r="L822" s="547"/>
      <c r="M822" s="549"/>
      <c r="N822" s="550"/>
      <c r="O822" s="551"/>
    </row>
    <row r="823" spans="1:15" s="23" customFormat="1" ht="14.25" x14ac:dyDescent="0.2">
      <c r="A823" s="13"/>
      <c r="B823" s="14"/>
      <c r="C823" s="175"/>
      <c r="D823" s="16"/>
      <c r="E823" s="15"/>
      <c r="F823" s="16"/>
      <c r="G823" s="17"/>
      <c r="H823" s="22"/>
      <c r="I823" s="144"/>
      <c r="J823" s="113"/>
      <c r="K823" s="142"/>
      <c r="L823" s="19"/>
      <c r="M823" s="113"/>
      <c r="N823" s="20"/>
      <c r="O823" s="20"/>
    </row>
    <row r="824" spans="1:15" s="23" customFormat="1" ht="33.75" x14ac:dyDescent="0.2">
      <c r="A824" s="223" t="s">
        <v>39</v>
      </c>
      <c r="B824" s="224" t="s">
        <v>506</v>
      </c>
      <c r="C824" s="225" t="s">
        <v>392</v>
      </c>
      <c r="D824" s="226" t="s">
        <v>507</v>
      </c>
      <c r="E824" s="225" t="s">
        <v>41</v>
      </c>
      <c r="F824" s="515">
        <v>9</v>
      </c>
      <c r="G824" s="228"/>
      <c r="H824" s="229">
        <f>ROUND(SUM(H825:H827),2)</f>
        <v>0.12</v>
      </c>
      <c r="I824" s="230">
        <f>ROUND(SUM(I825:I827),2)</f>
        <v>30.83</v>
      </c>
      <c r="J824" s="231">
        <f>(H824+I824)</f>
        <v>30.95</v>
      </c>
      <c r="K824" s="229">
        <f>F824*H824</f>
        <v>1.08</v>
      </c>
      <c r="L824" s="230">
        <f>F824*I824</f>
        <v>277.46999999999997</v>
      </c>
      <c r="M824" s="231">
        <f>K824+L824</f>
        <v>278.54999999999995</v>
      </c>
      <c r="N824" s="227">
        <f>M824*$N$7</f>
        <v>75.431339999999977</v>
      </c>
      <c r="O824" s="227">
        <f>M824+N824</f>
        <v>353.98133999999993</v>
      </c>
    </row>
    <row r="825" spans="1:15" s="552" customFormat="1" ht="18.75" customHeight="1" x14ac:dyDescent="0.25">
      <c r="A825" s="543"/>
      <c r="B825" s="544"/>
      <c r="C825" s="513">
        <v>2696</v>
      </c>
      <c r="D825" s="545" t="s">
        <v>765</v>
      </c>
      <c r="E825" s="514" t="s">
        <v>42</v>
      </c>
      <c r="F825" s="546">
        <v>1.4</v>
      </c>
      <c r="G825" s="547">
        <v>12.57</v>
      </c>
      <c r="H825" s="548"/>
      <c r="I825" s="547">
        <f>F825*G825</f>
        <v>17.597999999999999</v>
      </c>
      <c r="J825" s="549"/>
      <c r="K825" s="548"/>
      <c r="L825" s="547"/>
      <c r="M825" s="549"/>
      <c r="N825" s="550"/>
      <c r="O825" s="551"/>
    </row>
    <row r="826" spans="1:15" s="552" customFormat="1" ht="18.75" customHeight="1" x14ac:dyDescent="0.25">
      <c r="A826" s="543"/>
      <c r="B826" s="544"/>
      <c r="C826" s="513">
        <v>246</v>
      </c>
      <c r="D826" s="545" t="s">
        <v>766</v>
      </c>
      <c r="E826" s="514" t="s">
        <v>42</v>
      </c>
      <c r="F826" s="546">
        <v>1.4</v>
      </c>
      <c r="G826" s="547">
        <v>9.4499999999999993</v>
      </c>
      <c r="H826" s="548"/>
      <c r="I826" s="547">
        <f>F826*G826</f>
        <v>13.229999999999999</v>
      </c>
      <c r="J826" s="549"/>
      <c r="K826" s="548"/>
      <c r="L826" s="547"/>
      <c r="M826" s="549"/>
      <c r="N826" s="550"/>
      <c r="O826" s="551"/>
    </row>
    <row r="827" spans="1:15" s="552" customFormat="1" ht="18.75" customHeight="1" x14ac:dyDescent="0.25">
      <c r="A827" s="543"/>
      <c r="B827" s="544"/>
      <c r="C827" s="513"/>
      <c r="D827" s="545" t="s">
        <v>35</v>
      </c>
      <c r="E827" s="514" t="s">
        <v>41</v>
      </c>
      <c r="F827" s="546">
        <v>0.94</v>
      </c>
      <c r="G827" s="547">
        <v>0.13</v>
      </c>
      <c r="H827" s="548">
        <f>F827*G827</f>
        <v>0.1222</v>
      </c>
      <c r="I827" s="547"/>
      <c r="J827" s="549"/>
      <c r="K827" s="548"/>
      <c r="L827" s="547"/>
      <c r="M827" s="549"/>
      <c r="N827" s="550"/>
      <c r="O827" s="551"/>
    </row>
    <row r="828" spans="1:15" s="23" customFormat="1" ht="14.25" x14ac:dyDescent="0.2">
      <c r="A828" s="136"/>
      <c r="B828" s="128"/>
      <c r="C828" s="32"/>
      <c r="D828" s="123"/>
      <c r="E828" s="32"/>
      <c r="F828" s="481"/>
      <c r="G828" s="482"/>
      <c r="H828" s="483"/>
      <c r="I828" s="484"/>
      <c r="J828" s="485"/>
      <c r="K828" s="482"/>
      <c r="L828" s="482"/>
      <c r="M828" s="486"/>
      <c r="N828" s="91"/>
      <c r="O828" s="91"/>
    </row>
    <row r="829" spans="1:15" s="23" customFormat="1" ht="22.5" x14ac:dyDescent="0.2">
      <c r="A829" s="223"/>
      <c r="B829" s="224" t="s">
        <v>55</v>
      </c>
      <c r="C829" s="225" t="s">
        <v>407</v>
      </c>
      <c r="D829" s="226" t="s">
        <v>211</v>
      </c>
      <c r="E829" s="225" t="s">
        <v>41</v>
      </c>
      <c r="F829" s="515">
        <v>1</v>
      </c>
      <c r="G829" s="228"/>
      <c r="H829" s="229">
        <f>ROUND(SUM(H830:H833),2)</f>
        <v>305.3</v>
      </c>
      <c r="I829" s="230">
        <f>ROUND(SUM(I830:I833),2)</f>
        <v>21.49</v>
      </c>
      <c r="J829" s="231">
        <f>(H829+I829)</f>
        <v>326.79000000000002</v>
      </c>
      <c r="K829" s="229">
        <f>F829*H829</f>
        <v>305.3</v>
      </c>
      <c r="L829" s="230">
        <f>F829*I829</f>
        <v>21.49</v>
      </c>
      <c r="M829" s="231">
        <f>K829+L829</f>
        <v>326.79000000000002</v>
      </c>
      <c r="N829" s="227">
        <f>M829*$N$7</f>
        <v>88.494731999999999</v>
      </c>
      <c r="O829" s="227">
        <f>M829+N829</f>
        <v>415.28473200000002</v>
      </c>
    </row>
    <row r="830" spans="1:15" s="552" customFormat="1" ht="15" customHeight="1" x14ac:dyDescent="0.25">
      <c r="A830" s="543"/>
      <c r="B830" s="544" t="s">
        <v>715</v>
      </c>
      <c r="C830" s="513">
        <v>4750</v>
      </c>
      <c r="D830" s="545" t="s">
        <v>714</v>
      </c>
      <c r="E830" s="514" t="s">
        <v>42</v>
      </c>
      <c r="F830" s="546">
        <v>1</v>
      </c>
      <c r="G830" s="547">
        <v>12.57</v>
      </c>
      <c r="H830" s="548"/>
      <c r="I830" s="547">
        <f>F830*G830</f>
        <v>12.57</v>
      </c>
      <c r="J830" s="549"/>
      <c r="K830" s="548"/>
      <c r="L830" s="547"/>
      <c r="M830" s="549"/>
      <c r="N830" s="550"/>
      <c r="O830" s="551"/>
    </row>
    <row r="831" spans="1:15" s="552" customFormat="1" ht="15" customHeight="1" x14ac:dyDescent="0.25">
      <c r="A831" s="543"/>
      <c r="B831" s="544" t="s">
        <v>658</v>
      </c>
      <c r="C831" s="513">
        <v>6111</v>
      </c>
      <c r="D831" s="545" t="s">
        <v>670</v>
      </c>
      <c r="E831" s="514" t="s">
        <v>42</v>
      </c>
      <c r="F831" s="546">
        <v>1</v>
      </c>
      <c r="G831" s="547">
        <v>8.92</v>
      </c>
      <c r="H831" s="548"/>
      <c r="I831" s="547">
        <f t="shared" ref="I831" si="102">F831*G831</f>
        <v>8.92</v>
      </c>
      <c r="J831" s="549"/>
      <c r="K831" s="548"/>
      <c r="L831" s="547"/>
      <c r="M831" s="549"/>
      <c r="N831" s="550"/>
      <c r="O831" s="551"/>
    </row>
    <row r="832" spans="1:15" s="552" customFormat="1" ht="15" customHeight="1" x14ac:dyDescent="0.25">
      <c r="A832" s="543"/>
      <c r="B832" s="544"/>
      <c r="C832" s="513" t="s">
        <v>28</v>
      </c>
      <c r="D832" s="545" t="s">
        <v>60</v>
      </c>
      <c r="E832" s="514" t="s">
        <v>41</v>
      </c>
      <c r="F832" s="546">
        <v>1</v>
      </c>
      <c r="G832" s="547">
        <v>305.3</v>
      </c>
      <c r="H832" s="548">
        <v>305.3</v>
      </c>
      <c r="I832" s="547"/>
      <c r="J832" s="549"/>
      <c r="K832" s="548"/>
      <c r="L832" s="547"/>
      <c r="M832" s="549"/>
      <c r="N832" s="550"/>
      <c r="O832" s="551"/>
    </row>
    <row r="833" spans="1:15" s="23" customFormat="1" ht="14.25" x14ac:dyDescent="0.2">
      <c r="A833" s="136"/>
      <c r="B833" s="128"/>
      <c r="C833" s="32"/>
      <c r="D833" s="123"/>
      <c r="E833" s="32"/>
      <c r="F833" s="119"/>
      <c r="G833" s="33"/>
      <c r="H833" s="106"/>
      <c r="I833" s="28"/>
      <c r="J833" s="107"/>
      <c r="K833" s="33"/>
      <c r="L833" s="33"/>
      <c r="M833" s="109"/>
      <c r="N833" s="91"/>
      <c r="O833" s="91"/>
    </row>
    <row r="834" spans="1:15" s="23" customFormat="1" ht="22.5" x14ac:dyDescent="0.2">
      <c r="A834" s="223"/>
      <c r="B834" s="224" t="s">
        <v>55</v>
      </c>
      <c r="C834" s="225" t="s">
        <v>408</v>
      </c>
      <c r="D834" s="226" t="s">
        <v>212</v>
      </c>
      <c r="E834" s="225" t="s">
        <v>41</v>
      </c>
      <c r="F834" s="515">
        <v>2</v>
      </c>
      <c r="G834" s="228"/>
      <c r="H834" s="229">
        <f>ROUND(SUM(H835:H837),2)</f>
        <v>110.9</v>
      </c>
      <c r="I834" s="230">
        <f>ROUND(SUM(I835:I837),2)</f>
        <v>21.49</v>
      </c>
      <c r="J834" s="231">
        <f>(H834+I834)</f>
        <v>132.39000000000001</v>
      </c>
      <c r="K834" s="229">
        <f>F834*H834</f>
        <v>221.8</v>
      </c>
      <c r="L834" s="230">
        <f>F834*I834</f>
        <v>42.98</v>
      </c>
      <c r="M834" s="231">
        <f>K834+L834</f>
        <v>264.78000000000003</v>
      </c>
      <c r="N834" s="227">
        <f>M834*$N$7</f>
        <v>71.702424000000008</v>
      </c>
      <c r="O834" s="227">
        <f>M834+N834</f>
        <v>336.48242400000004</v>
      </c>
    </row>
    <row r="835" spans="1:15" s="552" customFormat="1" ht="15" customHeight="1" x14ac:dyDescent="0.25">
      <c r="A835" s="543"/>
      <c r="B835" s="544" t="s">
        <v>715</v>
      </c>
      <c r="C835" s="513">
        <v>4750</v>
      </c>
      <c r="D835" s="545" t="s">
        <v>714</v>
      </c>
      <c r="E835" s="514" t="s">
        <v>42</v>
      </c>
      <c r="F835" s="546">
        <v>1</v>
      </c>
      <c r="G835" s="547">
        <v>12.57</v>
      </c>
      <c r="H835" s="548"/>
      <c r="I835" s="547">
        <f>F835*G835</f>
        <v>12.57</v>
      </c>
      <c r="J835" s="549"/>
      <c r="K835" s="548"/>
      <c r="L835" s="547"/>
      <c r="M835" s="549"/>
      <c r="N835" s="550"/>
      <c r="O835" s="551"/>
    </row>
    <row r="836" spans="1:15" s="552" customFormat="1" ht="15" customHeight="1" x14ac:dyDescent="0.25">
      <c r="A836" s="543"/>
      <c r="B836" s="544" t="s">
        <v>658</v>
      </c>
      <c r="C836" s="513">
        <v>6111</v>
      </c>
      <c r="D836" s="545" t="s">
        <v>670</v>
      </c>
      <c r="E836" s="514" t="s">
        <v>42</v>
      </c>
      <c r="F836" s="546">
        <v>1</v>
      </c>
      <c r="G836" s="547">
        <v>8.92</v>
      </c>
      <c r="H836" s="548"/>
      <c r="I836" s="547">
        <f t="shared" ref="I836" si="103">F836*G836</f>
        <v>8.92</v>
      </c>
      <c r="J836" s="549"/>
      <c r="K836" s="548"/>
      <c r="L836" s="547"/>
      <c r="M836" s="549"/>
      <c r="N836" s="550"/>
      <c r="O836" s="551"/>
    </row>
    <row r="837" spans="1:15" s="552" customFormat="1" ht="26.25" customHeight="1" x14ac:dyDescent="0.25">
      <c r="A837" s="543"/>
      <c r="B837" s="544"/>
      <c r="C837" s="513" t="s">
        <v>28</v>
      </c>
      <c r="D837" s="545" t="s">
        <v>61</v>
      </c>
      <c r="E837" s="514" t="s">
        <v>41</v>
      </c>
      <c r="F837" s="546">
        <v>1</v>
      </c>
      <c r="G837" s="547">
        <v>110.9</v>
      </c>
      <c r="H837" s="548">
        <f>F837*G837</f>
        <v>110.9</v>
      </c>
      <c r="I837" s="547"/>
      <c r="J837" s="549"/>
      <c r="K837" s="548"/>
      <c r="L837" s="547"/>
      <c r="M837" s="549"/>
      <c r="N837" s="550"/>
      <c r="O837" s="551"/>
    </row>
    <row r="838" spans="1:15" s="23" customFormat="1" ht="14.25" x14ac:dyDescent="0.2">
      <c r="A838" s="136"/>
      <c r="B838" s="128"/>
      <c r="C838" s="32"/>
      <c r="D838" s="123"/>
      <c r="E838" s="32"/>
      <c r="F838" s="119"/>
      <c r="G838" s="33"/>
      <c r="H838" s="106"/>
      <c r="I838" s="28"/>
      <c r="J838" s="107"/>
      <c r="K838" s="33"/>
      <c r="L838" s="33"/>
      <c r="M838" s="109"/>
      <c r="N838" s="91"/>
      <c r="O838" s="91"/>
    </row>
    <row r="839" spans="1:15" s="23" customFormat="1" ht="22.5" x14ac:dyDescent="0.2">
      <c r="A839" s="223" t="s">
        <v>39</v>
      </c>
      <c r="B839" s="224" t="s">
        <v>24</v>
      </c>
      <c r="C839" s="225" t="s">
        <v>539</v>
      </c>
      <c r="D839" s="226" t="s">
        <v>213</v>
      </c>
      <c r="E839" s="225" t="s">
        <v>41</v>
      </c>
      <c r="F839" s="515">
        <v>1</v>
      </c>
      <c r="G839" s="228"/>
      <c r="H839" s="229">
        <f>ROUND(SUM(H840:H844),2)</f>
        <v>142.68</v>
      </c>
      <c r="I839" s="230">
        <f>ROUND(SUM(I840:I844),2)</f>
        <v>44.04</v>
      </c>
      <c r="J839" s="231">
        <f>(H839+I839)</f>
        <v>186.72</v>
      </c>
      <c r="K839" s="229">
        <f>F839*H839</f>
        <v>142.68</v>
      </c>
      <c r="L839" s="230">
        <f>F839*I839</f>
        <v>44.04</v>
      </c>
      <c r="M839" s="231">
        <f>K839+L839</f>
        <v>186.72</v>
      </c>
      <c r="N839" s="227">
        <f>M839*$N$7</f>
        <v>50.563775999999997</v>
      </c>
      <c r="O839" s="227">
        <f>M839+N839</f>
        <v>237.28377599999999</v>
      </c>
    </row>
    <row r="840" spans="1:15" s="552" customFormat="1" ht="18.75" customHeight="1" x14ac:dyDescent="0.25">
      <c r="A840" s="543"/>
      <c r="B840" s="544"/>
      <c r="C840" s="513">
        <v>2696</v>
      </c>
      <c r="D840" s="545" t="s">
        <v>767</v>
      </c>
      <c r="E840" s="514" t="s">
        <v>42</v>
      </c>
      <c r="F840" s="546">
        <v>2</v>
      </c>
      <c r="G840" s="547">
        <v>12.57</v>
      </c>
      <c r="H840" s="548"/>
      <c r="I840" s="547">
        <f>F840*G840</f>
        <v>25.14</v>
      </c>
      <c r="J840" s="549"/>
      <c r="K840" s="548"/>
      <c r="L840" s="547"/>
      <c r="M840" s="549"/>
      <c r="N840" s="550"/>
      <c r="O840" s="551"/>
    </row>
    <row r="841" spans="1:15" s="552" customFormat="1" ht="18.75" customHeight="1" x14ac:dyDescent="0.25">
      <c r="A841" s="543"/>
      <c r="B841" s="544"/>
      <c r="C841" s="513">
        <v>246</v>
      </c>
      <c r="D841" s="545" t="s">
        <v>766</v>
      </c>
      <c r="E841" s="514" t="s">
        <v>42</v>
      </c>
      <c r="F841" s="546">
        <v>2</v>
      </c>
      <c r="G841" s="547">
        <v>9.4499999999999993</v>
      </c>
      <c r="H841" s="548"/>
      <c r="I841" s="547">
        <f>F841*G841</f>
        <v>18.899999999999999</v>
      </c>
      <c r="J841" s="549"/>
      <c r="K841" s="548"/>
      <c r="L841" s="547"/>
      <c r="M841" s="549"/>
      <c r="N841" s="550"/>
      <c r="O841" s="551"/>
    </row>
    <row r="842" spans="1:15" s="552" customFormat="1" ht="18.75" customHeight="1" x14ac:dyDescent="0.25">
      <c r="A842" s="543"/>
      <c r="B842" s="544"/>
      <c r="C842" s="513"/>
      <c r="D842" s="545" t="str">
        <f>D839</f>
        <v>Base para válvula de descarga metálica Ø 32 mm (1 1/4") ou 40 mm (1 1/2")  - Referência: Docol Salvágua cromado 451106 - botão de duplo acionamento  (pne)</v>
      </c>
      <c r="E842" s="514" t="s">
        <v>56</v>
      </c>
      <c r="F842" s="546">
        <v>1</v>
      </c>
      <c r="G842" s="547">
        <v>125.44</v>
      </c>
      <c r="H842" s="548">
        <f>F842*G842</f>
        <v>125.44</v>
      </c>
      <c r="I842" s="547"/>
      <c r="J842" s="549"/>
      <c r="K842" s="548"/>
      <c r="L842" s="547"/>
      <c r="M842" s="549"/>
      <c r="N842" s="550"/>
      <c r="O842" s="551"/>
    </row>
    <row r="843" spans="1:15" s="552" customFormat="1" ht="18.75" customHeight="1" x14ac:dyDescent="0.25">
      <c r="A843" s="543"/>
      <c r="B843" s="544"/>
      <c r="C843" s="513"/>
      <c r="D843" s="545" t="s">
        <v>25</v>
      </c>
      <c r="E843" s="514" t="s">
        <v>41</v>
      </c>
      <c r="F843" s="546">
        <v>0.6</v>
      </c>
      <c r="G843" s="547">
        <v>28.33</v>
      </c>
      <c r="H843" s="548">
        <f>F843*G843</f>
        <v>16.997999999999998</v>
      </c>
      <c r="I843" s="547"/>
      <c r="J843" s="549"/>
      <c r="K843" s="548"/>
      <c r="L843" s="547"/>
      <c r="M843" s="549"/>
      <c r="N843" s="550"/>
      <c r="O843" s="551"/>
    </row>
    <row r="844" spans="1:15" s="552" customFormat="1" ht="18.75" customHeight="1" x14ac:dyDescent="0.25">
      <c r="A844" s="543"/>
      <c r="B844" s="544"/>
      <c r="C844" s="513"/>
      <c r="D844" s="545" t="s">
        <v>35</v>
      </c>
      <c r="E844" s="514" t="s">
        <v>41</v>
      </c>
      <c r="F844" s="546">
        <v>1.88</v>
      </c>
      <c r="G844" s="547">
        <v>0.13</v>
      </c>
      <c r="H844" s="548">
        <f>F844*G844</f>
        <v>0.24440000000000001</v>
      </c>
      <c r="I844" s="547"/>
      <c r="J844" s="549"/>
      <c r="K844" s="548"/>
      <c r="L844" s="547"/>
      <c r="M844" s="549"/>
      <c r="N844" s="550"/>
      <c r="O844" s="551"/>
    </row>
    <row r="845" spans="1:15" s="23" customFormat="1" ht="14.25" x14ac:dyDescent="0.2">
      <c r="A845" s="136"/>
      <c r="B845" s="128"/>
      <c r="C845" s="32"/>
      <c r="D845" s="123" t="s">
        <v>83</v>
      </c>
      <c r="E845" s="32"/>
      <c r="F845" s="119"/>
      <c r="G845" s="33"/>
      <c r="H845" s="106"/>
      <c r="I845" s="28"/>
      <c r="J845" s="107"/>
      <c r="K845" s="33"/>
      <c r="L845" s="33"/>
      <c r="M845" s="109"/>
      <c r="N845" s="91"/>
      <c r="O845" s="91"/>
    </row>
    <row r="846" spans="1:15" s="23" customFormat="1" ht="22.5" x14ac:dyDescent="0.2">
      <c r="A846" s="223"/>
      <c r="B846" s="224" t="s">
        <v>26</v>
      </c>
      <c r="C846" s="225" t="s">
        <v>540</v>
      </c>
      <c r="D846" s="226" t="s">
        <v>214</v>
      </c>
      <c r="E846" s="225" t="s">
        <v>41</v>
      </c>
      <c r="F846" s="515">
        <v>1</v>
      </c>
      <c r="G846" s="228"/>
      <c r="H846" s="229">
        <f>ROUND(SUM(H847:H848),2)</f>
        <v>434.9</v>
      </c>
      <c r="I846" s="230">
        <f>ROUND(SUM(I847:I848),2)</f>
        <v>7.09</v>
      </c>
      <c r="J846" s="231">
        <f>(H846+I846)</f>
        <v>441.98999999999995</v>
      </c>
      <c r="K846" s="229">
        <f>F846*H846</f>
        <v>434.9</v>
      </c>
      <c r="L846" s="230">
        <f>F846*I846</f>
        <v>7.09</v>
      </c>
      <c r="M846" s="231">
        <f>K846+L846</f>
        <v>441.98999999999995</v>
      </c>
      <c r="N846" s="227">
        <f>M846*$N$7</f>
        <v>119.69089199999998</v>
      </c>
      <c r="O846" s="227">
        <f>M846+N846</f>
        <v>561.68089199999997</v>
      </c>
    </row>
    <row r="847" spans="1:15" s="552" customFormat="1" ht="18.75" customHeight="1" x14ac:dyDescent="0.25">
      <c r="A847" s="543"/>
      <c r="B847" s="544"/>
      <c r="C847" s="513">
        <v>246</v>
      </c>
      <c r="D847" s="545" t="s">
        <v>766</v>
      </c>
      <c r="E847" s="514" t="s">
        <v>42</v>
      </c>
      <c r="F847" s="546">
        <v>0.75</v>
      </c>
      <c r="G847" s="547">
        <v>9.4499999999999993</v>
      </c>
      <c r="H847" s="548"/>
      <c r="I847" s="547">
        <f>F847*G847</f>
        <v>7.0874999999999995</v>
      </c>
      <c r="J847" s="549"/>
      <c r="K847" s="548"/>
      <c r="L847" s="547"/>
      <c r="M847" s="549"/>
      <c r="N847" s="550"/>
      <c r="O847" s="551"/>
    </row>
    <row r="848" spans="1:15" s="552" customFormat="1" ht="24" customHeight="1" x14ac:dyDescent="0.25">
      <c r="A848" s="543"/>
      <c r="B848" s="544"/>
      <c r="C848" s="513" t="s">
        <v>28</v>
      </c>
      <c r="D848" s="545" t="str">
        <f>D846</f>
        <v>Acabamento cromado para válvula de descarga tipo barra para acionamento - referência: Acabamento Válv. Desc. 1.1/2" Benefit Cr 184906 - Docol ou similar (pne)</v>
      </c>
      <c r="E848" s="514" t="s">
        <v>56</v>
      </c>
      <c r="F848" s="546">
        <v>1</v>
      </c>
      <c r="G848" s="547">
        <v>434.9</v>
      </c>
      <c r="H848" s="548">
        <f>F848*G848</f>
        <v>434.9</v>
      </c>
      <c r="I848" s="547"/>
      <c r="J848" s="549"/>
      <c r="K848" s="548"/>
      <c r="L848" s="547"/>
      <c r="M848" s="549"/>
      <c r="N848" s="550"/>
      <c r="O848" s="551"/>
    </row>
    <row r="849" spans="1:15" s="12" customFormat="1" ht="12.75" x14ac:dyDescent="0.25">
      <c r="A849" s="13"/>
      <c r="B849" s="14"/>
      <c r="C849" s="175"/>
      <c r="D849" s="16"/>
      <c r="E849" s="15"/>
      <c r="F849" s="14"/>
      <c r="G849" s="15"/>
      <c r="H849" s="139"/>
      <c r="I849" s="140"/>
      <c r="J849" s="145"/>
      <c r="K849" s="15"/>
      <c r="L849" s="139"/>
      <c r="M849" s="140"/>
      <c r="N849" s="138"/>
      <c r="O849" s="20"/>
    </row>
    <row r="850" spans="1:15" s="266" customFormat="1" ht="12.75" x14ac:dyDescent="0.2">
      <c r="A850" s="516"/>
      <c r="B850" s="224"/>
      <c r="C850" s="518" t="s">
        <v>193</v>
      </c>
      <c r="D850" s="519" t="s">
        <v>512</v>
      </c>
      <c r="E850" s="520"/>
      <c r="F850" s="519"/>
      <c r="G850" s="520"/>
      <c r="H850" s="521"/>
      <c r="I850" s="522"/>
      <c r="J850" s="523"/>
      <c r="K850" s="521"/>
      <c r="L850" s="522"/>
      <c r="M850" s="523"/>
      <c r="N850" s="524"/>
      <c r="O850" s="525">
        <f>SUM(O852:O899)</f>
        <v>12102.332736</v>
      </c>
    </row>
    <row r="851" spans="1:15" s="179" customFormat="1" ht="11.25" x14ac:dyDescent="0.25">
      <c r="A851" s="168"/>
      <c r="B851" s="128"/>
      <c r="C851" s="32"/>
      <c r="D851" s="123" t="s">
        <v>83</v>
      </c>
      <c r="E851" s="32"/>
      <c r="F851" s="481"/>
      <c r="G851" s="482"/>
      <c r="H851" s="487"/>
      <c r="I851" s="482"/>
      <c r="J851" s="486"/>
      <c r="K851" s="487"/>
      <c r="L851" s="482"/>
      <c r="M851" s="486"/>
      <c r="N851" s="91"/>
      <c r="O851" s="180"/>
    </row>
    <row r="852" spans="1:15" s="167" customFormat="1" ht="11.25" x14ac:dyDescent="0.2">
      <c r="A852" s="488"/>
      <c r="B852" s="120"/>
      <c r="C852" s="122"/>
      <c r="D852" s="124" t="s">
        <v>513</v>
      </c>
      <c r="E852" s="122"/>
      <c r="F852" s="489"/>
      <c r="G852" s="490"/>
      <c r="H852" s="491"/>
      <c r="I852" s="492"/>
      <c r="J852" s="493"/>
      <c r="K852" s="491"/>
      <c r="L852" s="492"/>
      <c r="M852" s="493"/>
      <c r="N852" s="489"/>
      <c r="O852" s="494"/>
    </row>
    <row r="853" spans="1:15" s="23" customFormat="1" ht="22.5" x14ac:dyDescent="0.2">
      <c r="A853" s="223" t="s">
        <v>39</v>
      </c>
      <c r="B853" s="224" t="s">
        <v>514</v>
      </c>
      <c r="C853" s="225" t="s">
        <v>393</v>
      </c>
      <c r="D853" s="226" t="s">
        <v>1074</v>
      </c>
      <c r="E853" s="225" t="s">
        <v>41</v>
      </c>
      <c r="F853" s="515">
        <v>1</v>
      </c>
      <c r="G853" s="228"/>
      <c r="H853" s="229">
        <f>ROUND(SUM(H854:H865),2)</f>
        <v>1387.44</v>
      </c>
      <c r="I853" s="230">
        <f>ROUND(SUM(I854:I865),2)</f>
        <v>471.14</v>
      </c>
      <c r="J853" s="231">
        <f>(H853+I853)</f>
        <v>1858.58</v>
      </c>
      <c r="K853" s="229">
        <f>F853*H853</f>
        <v>1387.44</v>
      </c>
      <c r="L853" s="230">
        <f>F853*I853</f>
        <v>471.14</v>
      </c>
      <c r="M853" s="231">
        <f>K853+L853</f>
        <v>1858.58</v>
      </c>
      <c r="N853" s="227">
        <f>M853*$N$7</f>
        <v>503.30346399999996</v>
      </c>
      <c r="O853" s="227">
        <f>M853+N853</f>
        <v>2361.883464</v>
      </c>
    </row>
    <row r="854" spans="1:15" s="552" customFormat="1" ht="18.75" customHeight="1" x14ac:dyDescent="0.25">
      <c r="A854" s="543"/>
      <c r="B854" s="544"/>
      <c r="C854" s="513"/>
      <c r="D854" s="545" t="s">
        <v>515</v>
      </c>
      <c r="E854" s="514" t="s">
        <v>516</v>
      </c>
      <c r="F854" s="546">
        <v>0.3</v>
      </c>
      <c r="G854" s="547">
        <v>2372.7800000000002</v>
      </c>
      <c r="H854" s="548">
        <f>F854*G854</f>
        <v>711.83400000000006</v>
      </c>
      <c r="I854" s="547"/>
      <c r="J854" s="549"/>
      <c r="K854" s="548"/>
      <c r="L854" s="547"/>
      <c r="M854" s="549"/>
      <c r="N854" s="550"/>
      <c r="O854" s="551"/>
    </row>
    <row r="855" spans="1:15" s="552" customFormat="1" ht="18.75" customHeight="1" x14ac:dyDescent="0.25">
      <c r="A855" s="543"/>
      <c r="B855" s="544" t="s">
        <v>658</v>
      </c>
      <c r="C855" s="513">
        <v>246</v>
      </c>
      <c r="D855" s="545" t="s">
        <v>766</v>
      </c>
      <c r="E855" s="514" t="s">
        <v>42</v>
      </c>
      <c r="F855" s="546">
        <v>8.6999999999999993</v>
      </c>
      <c r="G855" s="547">
        <v>9.4499999999999993</v>
      </c>
      <c r="H855" s="548"/>
      <c r="I855" s="547">
        <f>F855*G855</f>
        <v>82.214999999999989</v>
      </c>
      <c r="J855" s="549"/>
      <c r="K855" s="548"/>
      <c r="L855" s="547"/>
      <c r="M855" s="549"/>
      <c r="N855" s="550"/>
      <c r="O855" s="551"/>
    </row>
    <row r="856" spans="1:15" s="552" customFormat="1" ht="18.75" customHeight="1" x14ac:dyDescent="0.25">
      <c r="A856" s="543"/>
      <c r="B856" s="544" t="s">
        <v>658</v>
      </c>
      <c r="C856" s="513">
        <v>2696</v>
      </c>
      <c r="D856" s="545" t="s">
        <v>767</v>
      </c>
      <c r="E856" s="514" t="s">
        <v>42</v>
      </c>
      <c r="F856" s="546">
        <v>8.6999999999999993</v>
      </c>
      <c r="G856" s="547">
        <v>12.57</v>
      </c>
      <c r="H856" s="548"/>
      <c r="I856" s="547">
        <f>F856*G856</f>
        <v>109.35899999999999</v>
      </c>
      <c r="J856" s="549"/>
      <c r="K856" s="548"/>
      <c r="L856" s="547"/>
      <c r="M856" s="549"/>
      <c r="N856" s="550"/>
      <c r="O856" s="551"/>
    </row>
    <row r="857" spans="1:15" s="552" customFormat="1" ht="18.75" customHeight="1" x14ac:dyDescent="0.25">
      <c r="A857" s="543"/>
      <c r="B857" s="544" t="s">
        <v>658</v>
      </c>
      <c r="C857" s="513">
        <v>247</v>
      </c>
      <c r="D857" s="545" t="s">
        <v>768</v>
      </c>
      <c r="E857" s="514" t="s">
        <v>42</v>
      </c>
      <c r="F857" s="546">
        <v>3.3</v>
      </c>
      <c r="G857" s="547">
        <v>9.65</v>
      </c>
      <c r="H857" s="548"/>
      <c r="I857" s="547">
        <f t="shared" ref="I857:I858" si="104">F857*G857</f>
        <v>31.844999999999999</v>
      </c>
      <c r="J857" s="549"/>
      <c r="K857" s="548"/>
      <c r="L857" s="547"/>
      <c r="M857" s="549"/>
      <c r="N857" s="550"/>
      <c r="O857" s="551"/>
    </row>
    <row r="858" spans="1:15" s="552" customFormat="1" ht="18.75" customHeight="1" x14ac:dyDescent="0.25">
      <c r="A858" s="543"/>
      <c r="B858" s="544" t="s">
        <v>658</v>
      </c>
      <c r="C858" s="513">
        <v>2436</v>
      </c>
      <c r="D858" s="545" t="s">
        <v>239</v>
      </c>
      <c r="E858" s="514" t="s">
        <v>42</v>
      </c>
      <c r="F858" s="546">
        <v>3.3</v>
      </c>
      <c r="G858" s="547">
        <v>12.57</v>
      </c>
      <c r="H858" s="548"/>
      <c r="I858" s="547">
        <f t="shared" si="104"/>
        <v>41.481000000000002</v>
      </c>
      <c r="J858" s="549"/>
      <c r="K858" s="548"/>
      <c r="L858" s="547"/>
      <c r="M858" s="549"/>
      <c r="N858" s="550"/>
      <c r="O858" s="551"/>
    </row>
    <row r="859" spans="1:15" s="552" customFormat="1" ht="15" customHeight="1" x14ac:dyDescent="0.25">
      <c r="A859" s="543"/>
      <c r="B859" s="544" t="s">
        <v>658</v>
      </c>
      <c r="C859" s="513">
        <v>2700</v>
      </c>
      <c r="D859" s="545" t="s">
        <v>671</v>
      </c>
      <c r="E859" s="514" t="s">
        <v>42</v>
      </c>
      <c r="F859" s="546">
        <v>8</v>
      </c>
      <c r="G859" s="547">
        <v>16.86</v>
      </c>
      <c r="H859" s="548"/>
      <c r="I859" s="547">
        <f>F859*G859</f>
        <v>134.88</v>
      </c>
      <c r="J859" s="549"/>
      <c r="K859" s="548"/>
      <c r="L859" s="547"/>
      <c r="M859" s="549"/>
      <c r="N859" s="550"/>
      <c r="O859" s="551"/>
    </row>
    <row r="860" spans="1:15" s="552" customFormat="1" ht="15" customHeight="1" x14ac:dyDescent="0.25">
      <c r="A860" s="543"/>
      <c r="B860" s="544" t="s">
        <v>658</v>
      </c>
      <c r="C860" s="513">
        <v>6111</v>
      </c>
      <c r="D860" s="545" t="s">
        <v>670</v>
      </c>
      <c r="E860" s="514" t="s">
        <v>42</v>
      </c>
      <c r="F860" s="546">
        <v>8</v>
      </c>
      <c r="G860" s="547">
        <v>8.92</v>
      </c>
      <c r="H860" s="548"/>
      <c r="I860" s="547">
        <f t="shared" ref="I860" si="105">F860*G860</f>
        <v>71.36</v>
      </c>
      <c r="J860" s="549"/>
      <c r="K860" s="548"/>
      <c r="L860" s="547"/>
      <c r="M860" s="549"/>
      <c r="N860" s="550"/>
      <c r="O860" s="551"/>
    </row>
    <row r="861" spans="1:15" s="552" customFormat="1" ht="15" customHeight="1" x14ac:dyDescent="0.25">
      <c r="A861" s="543"/>
      <c r="B861" s="544"/>
      <c r="C861" s="513" t="s">
        <v>517</v>
      </c>
      <c r="D861" s="545" t="s">
        <v>518</v>
      </c>
      <c r="E861" s="514" t="s">
        <v>56</v>
      </c>
      <c r="F861" s="546">
        <v>10</v>
      </c>
      <c r="G861" s="547">
        <v>18.97</v>
      </c>
      <c r="H861" s="548">
        <f>F861*G861</f>
        <v>189.7</v>
      </c>
      <c r="I861" s="547"/>
      <c r="J861" s="549"/>
      <c r="K861" s="548"/>
      <c r="L861" s="547"/>
      <c r="M861" s="549"/>
      <c r="N861" s="550"/>
      <c r="O861" s="551"/>
    </row>
    <row r="862" spans="1:15" s="552" customFormat="1" ht="15" customHeight="1" x14ac:dyDescent="0.25">
      <c r="A862" s="543"/>
      <c r="B862" s="544"/>
      <c r="C862" s="513" t="s">
        <v>519</v>
      </c>
      <c r="D862" s="545" t="s">
        <v>520</v>
      </c>
      <c r="E862" s="514" t="s">
        <v>56</v>
      </c>
      <c r="F862" s="546">
        <v>10</v>
      </c>
      <c r="G862" s="547">
        <v>46.36</v>
      </c>
      <c r="H862" s="548">
        <f>F862*G862</f>
        <v>463.6</v>
      </c>
      <c r="I862" s="547"/>
      <c r="J862" s="549"/>
      <c r="K862" s="548"/>
      <c r="L862" s="547"/>
      <c r="M862" s="549"/>
      <c r="N862" s="550"/>
      <c r="O862" s="551"/>
    </row>
    <row r="863" spans="1:15" s="552" customFormat="1" ht="15" customHeight="1" x14ac:dyDescent="0.25">
      <c r="A863" s="543"/>
      <c r="B863" s="544"/>
      <c r="C863" s="513">
        <v>13001000025</v>
      </c>
      <c r="D863" s="545" t="s">
        <v>521</v>
      </c>
      <c r="E863" s="514" t="s">
        <v>48</v>
      </c>
      <c r="F863" s="546">
        <v>2.1000000000000001E-2</v>
      </c>
      <c r="G863" s="547">
        <v>36.03</v>
      </c>
      <c r="H863" s="548">
        <f>F863*G863</f>
        <v>0.75663000000000002</v>
      </c>
      <c r="I863" s="547"/>
      <c r="J863" s="549"/>
      <c r="K863" s="548"/>
      <c r="L863" s="547"/>
      <c r="M863" s="549"/>
      <c r="N863" s="550"/>
      <c r="O863" s="551"/>
    </row>
    <row r="864" spans="1:15" s="552" customFormat="1" ht="15" customHeight="1" x14ac:dyDescent="0.25">
      <c r="A864" s="543"/>
      <c r="B864" s="544"/>
      <c r="C864" s="513">
        <v>13001000025</v>
      </c>
      <c r="D864" s="545" t="s">
        <v>522</v>
      </c>
      <c r="E864" s="514" t="s">
        <v>48</v>
      </c>
      <c r="F864" s="546">
        <v>0.17</v>
      </c>
      <c r="G864" s="547">
        <v>33.82</v>
      </c>
      <c r="H864" s="548">
        <f>F864*G864</f>
        <v>5.7494000000000005</v>
      </c>
      <c r="I864" s="547"/>
      <c r="J864" s="549"/>
      <c r="K864" s="548"/>
      <c r="L864" s="547"/>
      <c r="M864" s="549"/>
      <c r="N864" s="550"/>
      <c r="O864" s="551"/>
    </row>
    <row r="865" spans="1:15" s="552" customFormat="1" ht="15" customHeight="1" x14ac:dyDescent="0.25">
      <c r="A865" s="543"/>
      <c r="B865" s="544"/>
      <c r="C865" s="513">
        <v>16006000108</v>
      </c>
      <c r="D865" s="545" t="s">
        <v>523</v>
      </c>
      <c r="E865" s="514" t="s">
        <v>56</v>
      </c>
      <c r="F865" s="546">
        <v>20</v>
      </c>
      <c r="G865" s="547">
        <v>0.79</v>
      </c>
      <c r="H865" s="548">
        <f>F865*G865</f>
        <v>15.8</v>
      </c>
      <c r="I865" s="547"/>
      <c r="J865" s="549"/>
      <c r="K865" s="548"/>
      <c r="L865" s="547"/>
      <c r="M865" s="549"/>
      <c r="N865" s="550"/>
      <c r="O865" s="551"/>
    </row>
    <row r="866" spans="1:15" s="167" customFormat="1" ht="11.25" x14ac:dyDescent="0.2">
      <c r="A866" s="168"/>
      <c r="B866" s="128"/>
      <c r="C866" s="32"/>
      <c r="D866" s="123"/>
      <c r="E866" s="32"/>
      <c r="F866" s="481"/>
      <c r="G866" s="482"/>
      <c r="H866" s="487"/>
      <c r="I866" s="482"/>
      <c r="J866" s="486"/>
      <c r="K866" s="487"/>
      <c r="L866" s="482"/>
      <c r="M866" s="486"/>
      <c r="N866" s="91"/>
      <c r="O866" s="180"/>
    </row>
    <row r="867" spans="1:15" s="23" customFormat="1" ht="22.5" x14ac:dyDescent="0.2">
      <c r="A867" s="223" t="s">
        <v>39</v>
      </c>
      <c r="B867" s="224" t="s">
        <v>514</v>
      </c>
      <c r="C867" s="225" t="s">
        <v>394</v>
      </c>
      <c r="D867" s="226" t="s">
        <v>1075</v>
      </c>
      <c r="E867" s="225" t="s">
        <v>41</v>
      </c>
      <c r="F867" s="515">
        <v>1</v>
      </c>
      <c r="G867" s="228"/>
      <c r="H867" s="229">
        <f>ROUND(SUM(H868:H879),2)</f>
        <v>1387.44</v>
      </c>
      <c r="I867" s="230">
        <f>ROUND(SUM(I868:I879),2)</f>
        <v>471.14</v>
      </c>
      <c r="J867" s="231">
        <f>(H867+I867)</f>
        <v>1858.58</v>
      </c>
      <c r="K867" s="229">
        <f>F867*H867</f>
        <v>1387.44</v>
      </c>
      <c r="L867" s="230">
        <f>F867*I867</f>
        <v>471.14</v>
      </c>
      <c r="M867" s="231">
        <f>K867+L867</f>
        <v>1858.58</v>
      </c>
      <c r="N867" s="227">
        <f>M867*$N$7</f>
        <v>503.30346399999996</v>
      </c>
      <c r="O867" s="227">
        <f>M867+N867</f>
        <v>2361.883464</v>
      </c>
    </row>
    <row r="868" spans="1:15" s="552" customFormat="1" ht="18.75" customHeight="1" x14ac:dyDescent="0.25">
      <c r="A868" s="543"/>
      <c r="B868" s="544"/>
      <c r="C868" s="513"/>
      <c r="D868" s="545" t="s">
        <v>524</v>
      </c>
      <c r="E868" s="514" t="s">
        <v>516</v>
      </c>
      <c r="F868" s="546">
        <v>0.3</v>
      </c>
      <c r="G868" s="547">
        <v>2372.7800000000002</v>
      </c>
      <c r="H868" s="548">
        <f>F868*G868</f>
        <v>711.83400000000006</v>
      </c>
      <c r="I868" s="547"/>
      <c r="J868" s="549"/>
      <c r="K868" s="548"/>
      <c r="L868" s="547"/>
      <c r="M868" s="549"/>
      <c r="N868" s="550"/>
      <c r="O868" s="551"/>
    </row>
    <row r="869" spans="1:15" s="552" customFormat="1" ht="18.75" customHeight="1" x14ac:dyDescent="0.25">
      <c r="A869" s="543"/>
      <c r="B869" s="544" t="s">
        <v>658</v>
      </c>
      <c r="C869" s="513">
        <v>246</v>
      </c>
      <c r="D869" s="545" t="s">
        <v>766</v>
      </c>
      <c r="E869" s="514" t="s">
        <v>42</v>
      </c>
      <c r="F869" s="546">
        <v>8.6999999999999993</v>
      </c>
      <c r="G869" s="547">
        <v>9.4499999999999993</v>
      </c>
      <c r="H869" s="548"/>
      <c r="I869" s="547">
        <f>F869*G869</f>
        <v>82.214999999999989</v>
      </c>
      <c r="J869" s="549"/>
      <c r="K869" s="548"/>
      <c r="L869" s="547"/>
      <c r="M869" s="549"/>
      <c r="N869" s="550"/>
      <c r="O869" s="551"/>
    </row>
    <row r="870" spans="1:15" s="552" customFormat="1" ht="18.75" customHeight="1" x14ac:dyDescent="0.25">
      <c r="A870" s="543"/>
      <c r="B870" s="544" t="s">
        <v>658</v>
      </c>
      <c r="C870" s="513">
        <v>2696</v>
      </c>
      <c r="D870" s="545" t="s">
        <v>767</v>
      </c>
      <c r="E870" s="514" t="s">
        <v>42</v>
      </c>
      <c r="F870" s="546">
        <v>8.6999999999999993</v>
      </c>
      <c r="G870" s="547">
        <v>12.57</v>
      </c>
      <c r="H870" s="548"/>
      <c r="I870" s="547">
        <f>F870*G870</f>
        <v>109.35899999999999</v>
      </c>
      <c r="J870" s="549"/>
      <c r="K870" s="548"/>
      <c r="L870" s="547"/>
      <c r="M870" s="549"/>
      <c r="N870" s="550"/>
      <c r="O870" s="551"/>
    </row>
    <row r="871" spans="1:15" s="552" customFormat="1" ht="18.75" customHeight="1" x14ac:dyDescent="0.25">
      <c r="A871" s="543"/>
      <c r="B871" s="544" t="s">
        <v>658</v>
      </c>
      <c r="C871" s="513">
        <v>247</v>
      </c>
      <c r="D871" s="545" t="s">
        <v>768</v>
      </c>
      <c r="E871" s="514" t="s">
        <v>42</v>
      </c>
      <c r="F871" s="546">
        <v>3.3</v>
      </c>
      <c r="G871" s="547">
        <v>9.65</v>
      </c>
      <c r="H871" s="548"/>
      <c r="I871" s="547">
        <f t="shared" ref="I871:I872" si="106">F871*G871</f>
        <v>31.844999999999999</v>
      </c>
      <c r="J871" s="549"/>
      <c r="K871" s="548"/>
      <c r="L871" s="547"/>
      <c r="M871" s="549"/>
      <c r="N871" s="550"/>
      <c r="O871" s="551"/>
    </row>
    <row r="872" spans="1:15" s="552" customFormat="1" ht="18.75" customHeight="1" x14ac:dyDescent="0.25">
      <c r="A872" s="543"/>
      <c r="B872" s="544" t="s">
        <v>658</v>
      </c>
      <c r="C872" s="513">
        <v>2436</v>
      </c>
      <c r="D872" s="545" t="s">
        <v>239</v>
      </c>
      <c r="E872" s="514" t="s">
        <v>42</v>
      </c>
      <c r="F872" s="546">
        <v>3.3</v>
      </c>
      <c r="G872" s="547">
        <v>12.57</v>
      </c>
      <c r="H872" s="548"/>
      <c r="I872" s="547">
        <f t="shared" si="106"/>
        <v>41.481000000000002</v>
      </c>
      <c r="J872" s="549"/>
      <c r="K872" s="548"/>
      <c r="L872" s="547"/>
      <c r="M872" s="549"/>
      <c r="N872" s="550"/>
      <c r="O872" s="551"/>
    </row>
    <row r="873" spans="1:15" s="552" customFormat="1" ht="15" customHeight="1" x14ac:dyDescent="0.25">
      <c r="A873" s="543"/>
      <c r="B873" s="544" t="s">
        <v>658</v>
      </c>
      <c r="C873" s="513">
        <v>2700</v>
      </c>
      <c r="D873" s="545" t="s">
        <v>671</v>
      </c>
      <c r="E873" s="514" t="s">
        <v>42</v>
      </c>
      <c r="F873" s="546">
        <v>8</v>
      </c>
      <c r="G873" s="547">
        <v>16.86</v>
      </c>
      <c r="H873" s="548"/>
      <c r="I873" s="547">
        <f>F873*G873</f>
        <v>134.88</v>
      </c>
      <c r="J873" s="549"/>
      <c r="K873" s="548"/>
      <c r="L873" s="547"/>
      <c r="M873" s="549"/>
      <c r="N873" s="550"/>
      <c r="O873" s="551"/>
    </row>
    <row r="874" spans="1:15" s="552" customFormat="1" ht="15" customHeight="1" x14ac:dyDescent="0.25">
      <c r="A874" s="543"/>
      <c r="B874" s="544" t="s">
        <v>658</v>
      </c>
      <c r="C874" s="513">
        <v>6111</v>
      </c>
      <c r="D874" s="545" t="s">
        <v>670</v>
      </c>
      <c r="E874" s="514" t="s">
        <v>42</v>
      </c>
      <c r="F874" s="546">
        <v>8</v>
      </c>
      <c r="G874" s="547">
        <v>8.92</v>
      </c>
      <c r="H874" s="548"/>
      <c r="I874" s="547">
        <f t="shared" ref="I874" si="107">F874*G874</f>
        <v>71.36</v>
      </c>
      <c r="J874" s="549"/>
      <c r="K874" s="548"/>
      <c r="L874" s="547"/>
      <c r="M874" s="549"/>
      <c r="N874" s="550"/>
      <c r="O874" s="551"/>
    </row>
    <row r="875" spans="1:15" s="552" customFormat="1" ht="18.75" customHeight="1" x14ac:dyDescent="0.25">
      <c r="A875" s="543"/>
      <c r="B875" s="544"/>
      <c r="C875" s="513" t="s">
        <v>517</v>
      </c>
      <c r="D875" s="545" t="s">
        <v>518</v>
      </c>
      <c r="E875" s="514" t="s">
        <v>56</v>
      </c>
      <c r="F875" s="546">
        <v>10</v>
      </c>
      <c r="G875" s="547">
        <v>18.97</v>
      </c>
      <c r="H875" s="548">
        <f>F875*G875</f>
        <v>189.7</v>
      </c>
      <c r="I875" s="547"/>
      <c r="J875" s="549"/>
      <c r="K875" s="548"/>
      <c r="L875" s="547"/>
      <c r="M875" s="549"/>
      <c r="N875" s="550"/>
      <c r="O875" s="551"/>
    </row>
    <row r="876" spans="1:15" s="552" customFormat="1" ht="18.75" customHeight="1" x14ac:dyDescent="0.25">
      <c r="A876" s="543"/>
      <c r="B876" s="544"/>
      <c r="C876" s="513" t="s">
        <v>519</v>
      </c>
      <c r="D876" s="545" t="s">
        <v>520</v>
      </c>
      <c r="E876" s="514" t="s">
        <v>56</v>
      </c>
      <c r="F876" s="546">
        <v>10</v>
      </c>
      <c r="G876" s="547">
        <v>46.36</v>
      </c>
      <c r="H876" s="548">
        <f>F876*G876</f>
        <v>463.6</v>
      </c>
      <c r="I876" s="547"/>
      <c r="J876" s="549"/>
      <c r="K876" s="548"/>
      <c r="L876" s="547"/>
      <c r="M876" s="549"/>
      <c r="N876" s="550"/>
      <c r="O876" s="551"/>
    </row>
    <row r="877" spans="1:15" s="552" customFormat="1" ht="18.75" customHeight="1" x14ac:dyDescent="0.25">
      <c r="A877" s="543"/>
      <c r="B877" s="544"/>
      <c r="C877" s="513">
        <v>13001000025</v>
      </c>
      <c r="D877" s="545" t="s">
        <v>521</v>
      </c>
      <c r="E877" s="514" t="s">
        <v>48</v>
      </c>
      <c r="F877" s="546">
        <v>2.1000000000000001E-2</v>
      </c>
      <c r="G877" s="547">
        <v>36.03</v>
      </c>
      <c r="H877" s="548">
        <f>F877*G877</f>
        <v>0.75663000000000002</v>
      </c>
      <c r="I877" s="547"/>
      <c r="J877" s="549"/>
      <c r="K877" s="548"/>
      <c r="L877" s="547"/>
      <c r="M877" s="549"/>
      <c r="N877" s="550"/>
      <c r="O877" s="551"/>
    </row>
    <row r="878" spans="1:15" s="552" customFormat="1" ht="18.75" customHeight="1" x14ac:dyDescent="0.25">
      <c r="A878" s="543"/>
      <c r="B878" s="544"/>
      <c r="C878" s="513">
        <v>13001000025</v>
      </c>
      <c r="D878" s="545" t="s">
        <v>522</v>
      </c>
      <c r="E878" s="514" t="s">
        <v>48</v>
      </c>
      <c r="F878" s="546">
        <v>0.17</v>
      </c>
      <c r="G878" s="547">
        <v>33.82</v>
      </c>
      <c r="H878" s="548">
        <f>F878*G878</f>
        <v>5.7494000000000005</v>
      </c>
      <c r="I878" s="547"/>
      <c r="J878" s="549"/>
      <c r="K878" s="548"/>
      <c r="L878" s="547"/>
      <c r="M878" s="549"/>
      <c r="N878" s="550"/>
      <c r="O878" s="551"/>
    </row>
    <row r="879" spans="1:15" s="552" customFormat="1" ht="18.75" customHeight="1" x14ac:dyDescent="0.25">
      <c r="A879" s="543"/>
      <c r="B879" s="544"/>
      <c r="C879" s="513">
        <v>16006000108</v>
      </c>
      <c r="D879" s="545" t="s">
        <v>523</v>
      </c>
      <c r="E879" s="514" t="s">
        <v>56</v>
      </c>
      <c r="F879" s="546">
        <v>20</v>
      </c>
      <c r="G879" s="547">
        <v>0.79</v>
      </c>
      <c r="H879" s="548">
        <f>F879*G879</f>
        <v>15.8</v>
      </c>
      <c r="I879" s="547"/>
      <c r="J879" s="549"/>
      <c r="K879" s="548"/>
      <c r="L879" s="547"/>
      <c r="M879" s="549"/>
      <c r="N879" s="550"/>
      <c r="O879" s="551"/>
    </row>
    <row r="880" spans="1:15" s="167" customFormat="1" ht="11.25" x14ac:dyDescent="0.2">
      <c r="A880" s="495"/>
      <c r="B880" s="174"/>
      <c r="C880" s="175"/>
      <c r="D880" s="176"/>
      <c r="E880" s="177"/>
      <c r="F880" s="190"/>
      <c r="G880" s="192"/>
      <c r="H880" s="193"/>
      <c r="I880" s="182"/>
      <c r="J880" s="187"/>
      <c r="K880" s="496"/>
      <c r="L880" s="185"/>
      <c r="M880" s="187"/>
      <c r="N880" s="188"/>
      <c r="O880" s="497"/>
    </row>
    <row r="881" spans="1:15" s="23" customFormat="1" ht="33.75" x14ac:dyDescent="0.2">
      <c r="A881" s="223" t="s">
        <v>78</v>
      </c>
      <c r="B881" s="224" t="s">
        <v>1102</v>
      </c>
      <c r="C881" s="225" t="s">
        <v>394</v>
      </c>
      <c r="D881" s="232" t="s">
        <v>1101</v>
      </c>
      <c r="E881" s="225" t="s">
        <v>98</v>
      </c>
      <c r="F881" s="515">
        <v>18</v>
      </c>
      <c r="G881" s="228"/>
      <c r="H881" s="229">
        <f>ROUND(SUM(H882:H890),2)</f>
        <v>32.53</v>
      </c>
      <c r="I881" s="229">
        <f>ROUND(SUM(I882:I890),2)</f>
        <v>14.29</v>
      </c>
      <c r="J881" s="231">
        <f>(H881+I881)</f>
        <v>46.82</v>
      </c>
      <c r="K881" s="229">
        <f>F881*H881</f>
        <v>585.54</v>
      </c>
      <c r="L881" s="230">
        <f>F881*I881</f>
        <v>257.21999999999997</v>
      </c>
      <c r="M881" s="231">
        <f>K881+L881</f>
        <v>842.76</v>
      </c>
      <c r="N881" s="227">
        <f>M881*$N$7</f>
        <v>228.21940799999999</v>
      </c>
      <c r="O881" s="227">
        <f>M881+N881</f>
        <v>1070.9794079999999</v>
      </c>
    </row>
    <row r="882" spans="1:15" s="552" customFormat="1" ht="18.75" customHeight="1" x14ac:dyDescent="0.25">
      <c r="A882" s="543"/>
      <c r="B882" s="544" t="s">
        <v>656</v>
      </c>
      <c r="C882" s="513">
        <v>88316</v>
      </c>
      <c r="D882" s="545" t="s">
        <v>1063</v>
      </c>
      <c r="E882" s="514" t="s">
        <v>91</v>
      </c>
      <c r="F882" s="546">
        <v>0.55000000000000004</v>
      </c>
      <c r="G882" s="547">
        <v>8.92</v>
      </c>
      <c r="H882" s="548"/>
      <c r="I882" s="547">
        <f>F882*G882</f>
        <v>4.9060000000000006</v>
      </c>
      <c r="J882" s="549"/>
      <c r="K882" s="548"/>
      <c r="L882" s="547"/>
      <c r="M882" s="549"/>
      <c r="N882" s="550"/>
      <c r="O882" s="551"/>
    </row>
    <row r="883" spans="1:15" s="552" customFormat="1" ht="18.75" customHeight="1" x14ac:dyDescent="0.25">
      <c r="A883" s="543"/>
      <c r="B883" s="544" t="s">
        <v>664</v>
      </c>
      <c r="C883" s="513">
        <v>88323</v>
      </c>
      <c r="D883" s="545" t="s">
        <v>1095</v>
      </c>
      <c r="E883" s="514" t="s">
        <v>42</v>
      </c>
      <c r="F883" s="546">
        <v>0.55000000000000004</v>
      </c>
      <c r="G883" s="547">
        <v>12.57</v>
      </c>
      <c r="H883" s="548"/>
      <c r="I883" s="547">
        <f>F883*G883</f>
        <v>6.9135000000000009</v>
      </c>
      <c r="J883" s="549"/>
      <c r="K883" s="548"/>
      <c r="L883" s="547"/>
      <c r="M883" s="549"/>
      <c r="N883" s="550"/>
      <c r="O883" s="551"/>
    </row>
    <row r="884" spans="1:15" s="552" customFormat="1" ht="18.75" customHeight="1" x14ac:dyDescent="0.25">
      <c r="A884" s="543"/>
      <c r="B884" s="544" t="s">
        <v>658</v>
      </c>
      <c r="C884" s="513">
        <v>1118</v>
      </c>
      <c r="D884" s="545" t="s">
        <v>1096</v>
      </c>
      <c r="E884" s="514" t="s">
        <v>1097</v>
      </c>
      <c r="F884" s="546">
        <v>1.05</v>
      </c>
      <c r="G884" s="547">
        <v>22.99</v>
      </c>
      <c r="H884" s="548">
        <f>F884*G884</f>
        <v>24.139499999999998</v>
      </c>
      <c r="I884" s="547"/>
      <c r="J884" s="549"/>
      <c r="K884" s="548"/>
      <c r="L884" s="547"/>
      <c r="M884" s="549"/>
      <c r="N884" s="550"/>
      <c r="O884" s="551"/>
    </row>
    <row r="885" spans="1:15" s="552" customFormat="1" ht="18.75" customHeight="1" x14ac:dyDescent="0.25">
      <c r="A885" s="543"/>
      <c r="B885" s="544" t="s">
        <v>658</v>
      </c>
      <c r="C885" s="513">
        <v>5061</v>
      </c>
      <c r="D885" s="545" t="s">
        <v>1098</v>
      </c>
      <c r="E885" s="514" t="s">
        <v>97</v>
      </c>
      <c r="F885" s="546">
        <v>0.15</v>
      </c>
      <c r="G885" s="547">
        <v>7.11</v>
      </c>
      <c r="H885" s="548">
        <f t="shared" ref="H885:H887" si="108">F885*G885</f>
        <v>1.0665</v>
      </c>
      <c r="I885" s="547"/>
      <c r="J885" s="549"/>
      <c r="K885" s="548"/>
      <c r="L885" s="547"/>
      <c r="M885" s="549"/>
      <c r="N885" s="550"/>
      <c r="O885" s="551"/>
    </row>
    <row r="886" spans="1:15" s="552" customFormat="1" ht="18.75" customHeight="1" x14ac:dyDescent="0.25">
      <c r="A886" s="543"/>
      <c r="B886" s="544" t="s">
        <v>658</v>
      </c>
      <c r="C886" s="513">
        <v>5104</v>
      </c>
      <c r="D886" s="545" t="s">
        <v>1099</v>
      </c>
      <c r="E886" s="514" t="s">
        <v>97</v>
      </c>
      <c r="F886" s="546">
        <v>0.04</v>
      </c>
      <c r="G886" s="547">
        <v>28.24</v>
      </c>
      <c r="H886" s="548">
        <f t="shared" si="108"/>
        <v>1.1295999999999999</v>
      </c>
      <c r="I886" s="547"/>
      <c r="J886" s="549"/>
      <c r="K886" s="548"/>
      <c r="L886" s="547"/>
      <c r="M886" s="549"/>
      <c r="N886" s="550"/>
      <c r="O886" s="551"/>
    </row>
    <row r="887" spans="1:15" s="552" customFormat="1" ht="15" customHeight="1" x14ac:dyDescent="0.25">
      <c r="A887" s="543"/>
      <c r="B887" s="544" t="s">
        <v>715</v>
      </c>
      <c r="C887" s="513">
        <v>13388</v>
      </c>
      <c r="D887" s="545" t="s">
        <v>1100</v>
      </c>
      <c r="E887" s="514" t="s">
        <v>694</v>
      </c>
      <c r="F887" s="546">
        <v>7.0000000000000007E-2</v>
      </c>
      <c r="G887" s="547">
        <v>62.23</v>
      </c>
      <c r="H887" s="548">
        <f t="shared" si="108"/>
        <v>4.3561000000000005</v>
      </c>
      <c r="I887" s="547"/>
      <c r="J887" s="549"/>
      <c r="K887" s="548"/>
      <c r="L887" s="547"/>
      <c r="M887" s="549"/>
      <c r="N887" s="550"/>
      <c r="O887" s="551"/>
    </row>
    <row r="888" spans="1:15" s="552" customFormat="1" ht="15" customHeight="1" x14ac:dyDescent="0.25">
      <c r="A888" s="543"/>
      <c r="B888" s="544" t="s">
        <v>715</v>
      </c>
      <c r="C888" s="513">
        <v>4783</v>
      </c>
      <c r="D888" s="545" t="s">
        <v>738</v>
      </c>
      <c r="E888" s="514" t="s">
        <v>42</v>
      </c>
      <c r="F888" s="546">
        <f>0.312/2</f>
        <v>0.156</v>
      </c>
      <c r="G888" s="547">
        <v>12.57</v>
      </c>
      <c r="H888" s="548"/>
      <c r="I888" s="547">
        <f>F888*G888</f>
        <v>1.96092</v>
      </c>
      <c r="J888" s="549"/>
      <c r="K888" s="548"/>
      <c r="L888" s="547"/>
      <c r="M888" s="549"/>
      <c r="N888" s="550"/>
      <c r="O888" s="551"/>
    </row>
    <row r="889" spans="1:15" s="552" customFormat="1" ht="15" customHeight="1" x14ac:dyDescent="0.25">
      <c r="A889" s="543"/>
      <c r="B889" s="544" t="s">
        <v>658</v>
      </c>
      <c r="C889" s="513">
        <v>6111</v>
      </c>
      <c r="D889" s="545" t="s">
        <v>670</v>
      </c>
      <c r="E889" s="514" t="s">
        <v>42</v>
      </c>
      <c r="F889" s="546">
        <f>0.114/2</f>
        <v>5.7000000000000002E-2</v>
      </c>
      <c r="G889" s="547">
        <v>8.92</v>
      </c>
      <c r="H889" s="548"/>
      <c r="I889" s="547">
        <f t="shared" ref="I889" si="109">F889*G889</f>
        <v>0.50844</v>
      </c>
      <c r="J889" s="549"/>
      <c r="K889" s="548"/>
      <c r="L889" s="547"/>
      <c r="M889" s="549"/>
      <c r="N889" s="550"/>
      <c r="O889" s="551"/>
    </row>
    <row r="890" spans="1:15" s="552" customFormat="1" ht="15" customHeight="1" x14ac:dyDescent="0.25">
      <c r="A890" s="543"/>
      <c r="B890" s="544" t="s">
        <v>657</v>
      </c>
      <c r="C890" s="513">
        <v>7311</v>
      </c>
      <c r="D890" s="545" t="s">
        <v>745</v>
      </c>
      <c r="E890" s="514" t="s">
        <v>740</v>
      </c>
      <c r="F890" s="546">
        <f>0.16/2</f>
        <v>0.08</v>
      </c>
      <c r="G890" s="547">
        <v>22.92</v>
      </c>
      <c r="H890" s="548">
        <f>F890*G890</f>
        <v>1.8336000000000001</v>
      </c>
      <c r="I890" s="547"/>
      <c r="J890" s="549"/>
      <c r="K890" s="548"/>
      <c r="L890" s="547"/>
      <c r="M890" s="549"/>
      <c r="N890" s="550"/>
      <c r="O890" s="551"/>
    </row>
    <row r="891" spans="1:15" s="167" customFormat="1" ht="11.25" x14ac:dyDescent="0.2">
      <c r="A891" s="495"/>
      <c r="B891" s="174"/>
      <c r="C891" s="175"/>
      <c r="D891" s="176"/>
      <c r="E891" s="177"/>
      <c r="F891" s="190"/>
      <c r="G891" s="192"/>
      <c r="H891" s="193"/>
      <c r="I891" s="182"/>
      <c r="J891" s="187"/>
      <c r="K891" s="496"/>
      <c r="L891" s="185"/>
      <c r="M891" s="187"/>
      <c r="N891" s="188"/>
      <c r="O891" s="497"/>
    </row>
    <row r="892" spans="1:15" s="167" customFormat="1" ht="11.25" x14ac:dyDescent="0.2">
      <c r="A892" s="488"/>
      <c r="B892" s="120"/>
      <c r="C892" s="122"/>
      <c r="D892" s="124" t="s">
        <v>525</v>
      </c>
      <c r="E892" s="122"/>
      <c r="F892" s="489"/>
      <c r="G892" s="490"/>
      <c r="H892" s="491"/>
      <c r="I892" s="492"/>
      <c r="J892" s="493"/>
      <c r="K892" s="491"/>
      <c r="L892" s="492"/>
      <c r="M892" s="493"/>
      <c r="N892" s="489"/>
      <c r="O892" s="494"/>
    </row>
    <row r="893" spans="1:15" s="23" customFormat="1" ht="22.5" x14ac:dyDescent="0.2">
      <c r="A893" s="223"/>
      <c r="B893" s="224" t="s">
        <v>28</v>
      </c>
      <c r="C893" s="225" t="s">
        <v>395</v>
      </c>
      <c r="D893" s="226" t="s">
        <v>1076</v>
      </c>
      <c r="E893" s="225" t="s">
        <v>41</v>
      </c>
      <c r="F893" s="515">
        <v>1</v>
      </c>
      <c r="G893" s="228"/>
      <c r="H893" s="229">
        <f>ROUND(SUM(H894),2)</f>
        <v>1234.05</v>
      </c>
      <c r="I893" s="230">
        <v>1198.95</v>
      </c>
      <c r="J893" s="231">
        <f>(H893+I893)</f>
        <v>2433</v>
      </c>
      <c r="K893" s="229">
        <f>F893*H893</f>
        <v>1234.05</v>
      </c>
      <c r="L893" s="230">
        <f>F893*I893</f>
        <v>1198.95</v>
      </c>
      <c r="M893" s="231">
        <f>K893+L893</f>
        <v>2433</v>
      </c>
      <c r="N893" s="227">
        <f>M893*N8</f>
        <v>341.10659999999996</v>
      </c>
      <c r="O893" s="227">
        <f>M893+N893</f>
        <v>2774.1066000000001</v>
      </c>
    </row>
    <row r="894" spans="1:15" s="552" customFormat="1" ht="18.75" customHeight="1" x14ac:dyDescent="0.25">
      <c r="A894" s="570" t="s">
        <v>526</v>
      </c>
      <c r="B894" s="544"/>
      <c r="C894" s="513"/>
      <c r="D894" s="545" t="str">
        <f>D893</f>
        <v xml:space="preserve">CONDICIONADOR de ar tipo Split, 12.000 Btu/h -SISTEMA INVERTER -  referência: FUJITSU ou similar  - quente/frio </v>
      </c>
      <c r="E894" s="514" t="s">
        <v>41</v>
      </c>
      <c r="F894" s="546">
        <v>1</v>
      </c>
      <c r="G894" s="547">
        <v>1234.05</v>
      </c>
      <c r="H894" s="548">
        <f>F894*G894</f>
        <v>1234.05</v>
      </c>
      <c r="I894" s="547"/>
      <c r="J894" s="549"/>
      <c r="K894" s="548"/>
      <c r="L894" s="547"/>
      <c r="M894" s="549"/>
      <c r="N894" s="550"/>
      <c r="O894" s="551"/>
    </row>
    <row r="895" spans="1:15" s="507" customFormat="1" ht="11.25" x14ac:dyDescent="0.2">
      <c r="A895" s="488"/>
      <c r="B895" s="499"/>
      <c r="C895" s="498"/>
      <c r="D895" s="500"/>
      <c r="E895" s="498"/>
      <c r="F895" s="501"/>
      <c r="G895" s="502"/>
      <c r="H895" s="503"/>
      <c r="I895" s="502"/>
      <c r="J895" s="504"/>
      <c r="K895" s="503"/>
      <c r="L895" s="502"/>
      <c r="M895" s="504"/>
      <c r="N895" s="505"/>
      <c r="O895" s="506"/>
    </row>
    <row r="896" spans="1:15" s="23" customFormat="1" ht="22.5" x14ac:dyDescent="0.2">
      <c r="A896" s="223"/>
      <c r="B896" s="224" t="s">
        <v>28</v>
      </c>
      <c r="C896" s="225" t="s">
        <v>396</v>
      </c>
      <c r="D896" s="226" t="s">
        <v>1077</v>
      </c>
      <c r="E896" s="225" t="s">
        <v>41</v>
      </c>
      <c r="F896" s="515">
        <v>1</v>
      </c>
      <c r="G896" s="228"/>
      <c r="H896" s="229">
        <f>ROUND(SUM(H897),2)</f>
        <v>3099</v>
      </c>
      <c r="I896" s="229">
        <f>ROUND(SUM(I897),2)</f>
        <v>0</v>
      </c>
      <c r="J896" s="231">
        <f>(H896+I896)</f>
        <v>3099</v>
      </c>
      <c r="K896" s="229">
        <f>F896*H896</f>
        <v>3099</v>
      </c>
      <c r="L896" s="230">
        <f>F896*I896</f>
        <v>0</v>
      </c>
      <c r="M896" s="231">
        <f>K896+L896</f>
        <v>3099</v>
      </c>
      <c r="N896" s="227">
        <f>M896*N8</f>
        <v>434.47979999999995</v>
      </c>
      <c r="O896" s="227">
        <f>M896+N896</f>
        <v>3533.4798000000001</v>
      </c>
    </row>
    <row r="897" spans="1:15" s="552" customFormat="1" ht="18.75" customHeight="1" x14ac:dyDescent="0.25">
      <c r="A897" s="570" t="s">
        <v>526</v>
      </c>
      <c r="B897" s="544"/>
      <c r="C897" s="513"/>
      <c r="D897" s="545" t="str">
        <f>D896</f>
        <v xml:space="preserve">CONDICIONADOR de ar tipo Split, 18.000 Btu/h -SISTEMA INVERTER -  referência: FUJITSU ou similar  - quente/frio </v>
      </c>
      <c r="E897" s="514" t="s">
        <v>41</v>
      </c>
      <c r="F897" s="546">
        <v>1</v>
      </c>
      <c r="G897" s="547">
        <v>3099</v>
      </c>
      <c r="H897" s="548">
        <f>G897*F897</f>
        <v>3099</v>
      </c>
      <c r="I897" s="547"/>
      <c r="J897" s="549"/>
      <c r="K897" s="548"/>
      <c r="L897" s="547"/>
      <c r="M897" s="549"/>
      <c r="N897" s="550"/>
      <c r="O897" s="551"/>
    </row>
    <row r="898" spans="1:15" s="167" customFormat="1" ht="11.25" x14ac:dyDescent="0.2">
      <c r="A898" s="168"/>
      <c r="B898" s="128"/>
      <c r="C898" s="498"/>
      <c r="D898" s="123"/>
      <c r="E898" s="32"/>
      <c r="F898" s="481"/>
      <c r="G898" s="482"/>
      <c r="H898" s="487"/>
      <c r="I898" s="482"/>
      <c r="J898" s="486"/>
      <c r="K898" s="487"/>
      <c r="L898" s="482"/>
      <c r="M898" s="486"/>
      <c r="N898" s="91"/>
      <c r="O898" s="180"/>
    </row>
    <row r="899" spans="1:15" s="167" customFormat="1" ht="11.25" x14ac:dyDescent="0.2">
      <c r="A899" s="168"/>
      <c r="B899" s="128"/>
      <c r="C899" s="498"/>
      <c r="D899" s="123"/>
      <c r="E899" s="32"/>
      <c r="F899" s="481"/>
      <c r="G899" s="482"/>
      <c r="H899" s="487"/>
      <c r="I899" s="482"/>
      <c r="J899" s="486"/>
      <c r="K899" s="487"/>
      <c r="L899" s="482"/>
      <c r="M899" s="486"/>
      <c r="N899" s="91"/>
      <c r="O899" s="180"/>
    </row>
    <row r="900" spans="1:15" s="266" customFormat="1" ht="12.75" x14ac:dyDescent="0.2">
      <c r="A900" s="516"/>
      <c r="B900" s="517"/>
      <c r="C900" s="518" t="s">
        <v>194</v>
      </c>
      <c r="D900" s="519" t="s">
        <v>84</v>
      </c>
      <c r="E900" s="520"/>
      <c r="F900" s="519"/>
      <c r="G900" s="520"/>
      <c r="H900" s="521"/>
      <c r="I900" s="522"/>
      <c r="J900" s="523"/>
      <c r="K900" s="521"/>
      <c r="L900" s="522"/>
      <c r="M900" s="523"/>
      <c r="N900" s="524"/>
      <c r="O900" s="525">
        <f>SUM(O902:O937)</f>
        <v>7657.3032516000003</v>
      </c>
    </row>
    <row r="901" spans="1:15" x14ac:dyDescent="0.25">
      <c r="A901" s="137"/>
      <c r="B901" s="127"/>
      <c r="C901" s="9"/>
      <c r="D901" s="125" t="s">
        <v>83</v>
      </c>
      <c r="E901" s="4"/>
      <c r="F901" s="121"/>
      <c r="G901" s="5"/>
      <c r="H901" s="114"/>
      <c r="I901" s="5"/>
      <c r="J901" s="115"/>
      <c r="K901" s="114"/>
      <c r="L901" s="5"/>
      <c r="M901" s="115"/>
      <c r="N901" s="95"/>
      <c r="O901" s="95"/>
    </row>
    <row r="902" spans="1:15" s="23" customFormat="1" ht="14.25" x14ac:dyDescent="0.2">
      <c r="A902" s="223" t="s">
        <v>78</v>
      </c>
      <c r="B902" s="224">
        <v>88497</v>
      </c>
      <c r="C902" s="225" t="s">
        <v>397</v>
      </c>
      <c r="D902" s="232" t="s">
        <v>734</v>
      </c>
      <c r="E902" s="225" t="s">
        <v>94</v>
      </c>
      <c r="F902" s="515">
        <f>'MEMÓRIA DE CÁLCULO'!M111</f>
        <v>239.75</v>
      </c>
      <c r="G902" s="228"/>
      <c r="H902" s="229">
        <f>ROUND(SUM(H903:H906),2)</f>
        <v>4.12</v>
      </c>
      <c r="I902" s="229">
        <f>ROUND(SUM(I903:I906),2)</f>
        <v>4.9400000000000004</v>
      </c>
      <c r="J902" s="231">
        <f>(H902+I902)</f>
        <v>9.06</v>
      </c>
      <c r="K902" s="229">
        <f>F902*H902</f>
        <v>987.77</v>
      </c>
      <c r="L902" s="230">
        <f>F902*I902</f>
        <v>1184.365</v>
      </c>
      <c r="M902" s="231">
        <f>K902+L902</f>
        <v>2172.1350000000002</v>
      </c>
      <c r="N902" s="227">
        <f>M902*$N$7</f>
        <v>588.214158</v>
      </c>
      <c r="O902" s="227">
        <f>M902+N902</f>
        <v>2760.349158</v>
      </c>
    </row>
    <row r="903" spans="1:15" s="552" customFormat="1" ht="15" customHeight="1" x14ac:dyDescent="0.25">
      <c r="A903" s="543"/>
      <c r="B903" s="544" t="s">
        <v>715</v>
      </c>
      <c r="C903" s="513">
        <v>4783</v>
      </c>
      <c r="D903" s="545" t="s">
        <v>738</v>
      </c>
      <c r="E903" s="514" t="s">
        <v>42</v>
      </c>
      <c r="F903" s="546">
        <v>0.312</v>
      </c>
      <c r="G903" s="547">
        <v>12.57</v>
      </c>
      <c r="H903" s="548"/>
      <c r="I903" s="547">
        <f>F903*G903</f>
        <v>3.92184</v>
      </c>
      <c r="J903" s="549"/>
      <c r="K903" s="548"/>
      <c r="L903" s="547"/>
      <c r="M903" s="549"/>
      <c r="N903" s="550"/>
      <c r="O903" s="551"/>
    </row>
    <row r="904" spans="1:15" s="552" customFormat="1" ht="15" customHeight="1" x14ac:dyDescent="0.25">
      <c r="A904" s="543"/>
      <c r="B904" s="544" t="s">
        <v>658</v>
      </c>
      <c r="C904" s="513">
        <v>6111</v>
      </c>
      <c r="D904" s="545" t="s">
        <v>670</v>
      </c>
      <c r="E904" s="514" t="s">
        <v>42</v>
      </c>
      <c r="F904" s="546">
        <v>0.114</v>
      </c>
      <c r="G904" s="547">
        <v>8.92</v>
      </c>
      <c r="H904" s="548"/>
      <c r="I904" s="547">
        <f t="shared" ref="I904" si="110">F904*G904</f>
        <v>1.01688</v>
      </c>
      <c r="J904" s="549"/>
      <c r="K904" s="548"/>
      <c r="L904" s="547"/>
      <c r="M904" s="549"/>
      <c r="N904" s="550"/>
      <c r="O904" s="551"/>
    </row>
    <row r="905" spans="1:15" s="552" customFormat="1" ht="15" customHeight="1" x14ac:dyDescent="0.25">
      <c r="A905" s="543"/>
      <c r="B905" s="544" t="s">
        <v>657</v>
      </c>
      <c r="C905" s="513">
        <v>3767</v>
      </c>
      <c r="D905" s="545" t="s">
        <v>735</v>
      </c>
      <c r="E905" s="514" t="s">
        <v>81</v>
      </c>
      <c r="F905" s="546">
        <v>0.06</v>
      </c>
      <c r="G905" s="547">
        <v>0.73</v>
      </c>
      <c r="H905" s="548">
        <f t="shared" ref="H905" si="111">F905*G905</f>
        <v>4.3799999999999999E-2</v>
      </c>
      <c r="I905" s="547"/>
      <c r="J905" s="549"/>
      <c r="K905" s="548"/>
      <c r="L905" s="547"/>
      <c r="M905" s="549"/>
      <c r="N905" s="550"/>
      <c r="O905" s="551"/>
    </row>
    <row r="906" spans="1:15" s="552" customFormat="1" ht="15" customHeight="1" x14ac:dyDescent="0.25">
      <c r="A906" s="543"/>
      <c r="B906" s="544" t="s">
        <v>657</v>
      </c>
      <c r="C906" s="513">
        <v>4051</v>
      </c>
      <c r="D906" s="545" t="s">
        <v>736</v>
      </c>
      <c r="E906" s="514" t="s">
        <v>737</v>
      </c>
      <c r="F906" s="546">
        <v>4.8899999999999999E-2</v>
      </c>
      <c r="G906" s="547">
        <v>83.3</v>
      </c>
      <c r="H906" s="548">
        <f>F906*G906</f>
        <v>4.0733699999999997</v>
      </c>
      <c r="I906" s="547"/>
      <c r="J906" s="549"/>
      <c r="K906" s="548"/>
      <c r="L906" s="547"/>
      <c r="M906" s="549"/>
      <c r="N906" s="550"/>
      <c r="O906" s="551"/>
    </row>
    <row r="907" spans="1:15" s="23" customFormat="1" ht="14.25" x14ac:dyDescent="0.2">
      <c r="A907" s="137"/>
      <c r="B907" s="127"/>
      <c r="C907" s="9"/>
      <c r="D907" s="125" t="s">
        <v>83</v>
      </c>
      <c r="E907" s="4"/>
      <c r="F907" s="121"/>
      <c r="G907" s="5"/>
      <c r="H907" s="114"/>
      <c r="I907" s="5"/>
      <c r="J907" s="115"/>
      <c r="K907" s="114"/>
      <c r="L907" s="5"/>
      <c r="M907" s="115"/>
      <c r="N907" s="95"/>
      <c r="O907" s="95"/>
    </row>
    <row r="908" spans="1:15" s="23" customFormat="1" ht="14.25" x14ac:dyDescent="0.2">
      <c r="A908" s="223" t="s">
        <v>78</v>
      </c>
      <c r="B908" s="224">
        <v>88489</v>
      </c>
      <c r="C908" s="225" t="s">
        <v>541</v>
      </c>
      <c r="D908" s="226" t="s">
        <v>217</v>
      </c>
      <c r="E908" s="225" t="s">
        <v>94</v>
      </c>
      <c r="F908" s="515">
        <f>'MEMÓRIA DE CÁLCULO'!L111</f>
        <v>239.75</v>
      </c>
      <c r="G908" s="228"/>
      <c r="H908" s="229">
        <f>ROUND(SUM(H909:H911),2)</f>
        <v>6.07</v>
      </c>
      <c r="I908" s="229">
        <f>ROUND(SUM(I909:I911),2)</f>
        <v>2.97</v>
      </c>
      <c r="J908" s="231">
        <f>(H908+I908)</f>
        <v>9.0400000000000009</v>
      </c>
      <c r="K908" s="229">
        <f>F908*H908</f>
        <v>1455.2825</v>
      </c>
      <c r="L908" s="230">
        <f>F908*I908</f>
        <v>712.0575</v>
      </c>
      <c r="M908" s="231">
        <f>K908+L908</f>
        <v>2167.34</v>
      </c>
      <c r="N908" s="227">
        <f>M908*$N$7</f>
        <v>586.91567199999997</v>
      </c>
      <c r="O908" s="227">
        <f>M908+N908</f>
        <v>2754.2556720000002</v>
      </c>
    </row>
    <row r="909" spans="1:15" s="552" customFormat="1" ht="15" customHeight="1" x14ac:dyDescent="0.25">
      <c r="A909" s="543"/>
      <c r="B909" s="544" t="s">
        <v>715</v>
      </c>
      <c r="C909" s="513">
        <v>4783</v>
      </c>
      <c r="D909" s="545" t="s">
        <v>738</v>
      </c>
      <c r="E909" s="514" t="s">
        <v>42</v>
      </c>
      <c r="F909" s="546">
        <v>0.187</v>
      </c>
      <c r="G909" s="547">
        <v>12.57</v>
      </c>
      <c r="H909" s="548"/>
      <c r="I909" s="547">
        <f>F909*G909</f>
        <v>2.35059</v>
      </c>
      <c r="J909" s="549"/>
      <c r="K909" s="548"/>
      <c r="L909" s="547"/>
      <c r="M909" s="549"/>
      <c r="N909" s="550"/>
      <c r="O909" s="551"/>
    </row>
    <row r="910" spans="1:15" s="552" customFormat="1" ht="15" customHeight="1" x14ac:dyDescent="0.25">
      <c r="A910" s="543"/>
      <c r="B910" s="544" t="s">
        <v>658</v>
      </c>
      <c r="C910" s="513">
        <v>6111</v>
      </c>
      <c r="D910" s="545" t="s">
        <v>670</v>
      </c>
      <c r="E910" s="514" t="s">
        <v>42</v>
      </c>
      <c r="F910" s="546">
        <v>6.9000000000000006E-2</v>
      </c>
      <c r="G910" s="547">
        <v>8.92</v>
      </c>
      <c r="H910" s="548"/>
      <c r="I910" s="547">
        <f t="shared" ref="I910" si="112">F910*G910</f>
        <v>0.61548000000000003</v>
      </c>
      <c r="J910" s="549"/>
      <c r="K910" s="548"/>
      <c r="L910" s="547"/>
      <c r="M910" s="549"/>
      <c r="N910" s="550"/>
      <c r="O910" s="551"/>
    </row>
    <row r="911" spans="1:15" s="552" customFormat="1" ht="15" customHeight="1" x14ac:dyDescent="0.25">
      <c r="A911" s="543"/>
      <c r="B911" s="544" t="s">
        <v>657</v>
      </c>
      <c r="C911" s="513">
        <v>7356</v>
      </c>
      <c r="D911" s="545" t="s">
        <v>739</v>
      </c>
      <c r="E911" s="514" t="s">
        <v>740</v>
      </c>
      <c r="F911" s="546">
        <v>0.33</v>
      </c>
      <c r="G911" s="547">
        <v>18.38</v>
      </c>
      <c r="H911" s="548">
        <f t="shared" ref="H911" si="113">F911*G911</f>
        <v>6.0654000000000003</v>
      </c>
      <c r="I911" s="547"/>
      <c r="J911" s="549"/>
      <c r="K911" s="548"/>
      <c r="L911" s="547"/>
      <c r="M911" s="549"/>
      <c r="N911" s="550"/>
      <c r="O911" s="551"/>
    </row>
    <row r="912" spans="1:15" x14ac:dyDescent="0.25">
      <c r="A912" s="137"/>
      <c r="B912" s="127"/>
      <c r="C912" s="9"/>
      <c r="D912" s="125" t="s">
        <v>83</v>
      </c>
      <c r="E912" s="4"/>
      <c r="F912" s="121"/>
      <c r="G912" s="5"/>
      <c r="H912" s="114"/>
      <c r="I912" s="5"/>
      <c r="J912" s="115"/>
      <c r="K912" s="114"/>
      <c r="L912" s="5"/>
      <c r="M912" s="115"/>
      <c r="N912" s="95"/>
      <c r="O912" s="95"/>
    </row>
    <row r="913" spans="1:15" s="23" customFormat="1" ht="14.25" x14ac:dyDescent="0.2">
      <c r="A913" s="223" t="s">
        <v>78</v>
      </c>
      <c r="B913" s="224">
        <v>88488</v>
      </c>
      <c r="C913" s="225" t="s">
        <v>542</v>
      </c>
      <c r="D913" s="226" t="s">
        <v>218</v>
      </c>
      <c r="E913" s="225" t="s">
        <v>94</v>
      </c>
      <c r="F913" s="515">
        <f>'MEMÓRIA DE CÁLCULO'!I111</f>
        <v>63.8</v>
      </c>
      <c r="G913" s="228"/>
      <c r="H913" s="229">
        <f>ROUND(SUM(H914:H916),2)</f>
        <v>6.07</v>
      </c>
      <c r="I913" s="229">
        <f>ROUND(SUM(I914:I916),2)</f>
        <v>3.86</v>
      </c>
      <c r="J913" s="231">
        <f>(H913+I913)</f>
        <v>9.93</v>
      </c>
      <c r="K913" s="229">
        <f>F913*H913</f>
        <v>387.26600000000002</v>
      </c>
      <c r="L913" s="230">
        <f>F913*I913</f>
        <v>246.26799999999997</v>
      </c>
      <c r="M913" s="231">
        <f>K913+L913</f>
        <v>633.53399999999999</v>
      </c>
      <c r="N913" s="227">
        <f>M913*$N$7</f>
        <v>171.56100719999998</v>
      </c>
      <c r="O913" s="227">
        <f>M913+N913</f>
        <v>805.09500719999994</v>
      </c>
    </row>
    <row r="914" spans="1:15" s="552" customFormat="1" ht="15" customHeight="1" x14ac:dyDescent="0.25">
      <c r="A914" s="543"/>
      <c r="B914" s="544" t="s">
        <v>715</v>
      </c>
      <c r="C914" s="513">
        <v>4783</v>
      </c>
      <c r="D914" s="545" t="s">
        <v>738</v>
      </c>
      <c r="E914" s="514" t="s">
        <v>42</v>
      </c>
      <c r="F914" s="546">
        <v>0.24399999999999999</v>
      </c>
      <c r="G914" s="547">
        <v>12.57</v>
      </c>
      <c r="H914" s="548"/>
      <c r="I914" s="547">
        <f>F914*G914</f>
        <v>3.0670799999999998</v>
      </c>
      <c r="J914" s="549"/>
      <c r="K914" s="548"/>
      <c r="L914" s="547"/>
      <c r="M914" s="549"/>
      <c r="N914" s="550"/>
      <c r="O914" s="551"/>
    </row>
    <row r="915" spans="1:15" s="552" customFormat="1" ht="15" customHeight="1" x14ac:dyDescent="0.25">
      <c r="A915" s="543"/>
      <c r="B915" s="544" t="s">
        <v>658</v>
      </c>
      <c r="C915" s="513">
        <v>6111</v>
      </c>
      <c r="D915" s="545" t="s">
        <v>670</v>
      </c>
      <c r="E915" s="514" t="s">
        <v>42</v>
      </c>
      <c r="F915" s="546">
        <v>8.8999999999999996E-2</v>
      </c>
      <c r="G915" s="547">
        <v>8.92</v>
      </c>
      <c r="H915" s="548"/>
      <c r="I915" s="547">
        <f t="shared" ref="I915" si="114">F915*G915</f>
        <v>0.79387999999999992</v>
      </c>
      <c r="J915" s="549"/>
      <c r="K915" s="548"/>
      <c r="L915" s="547"/>
      <c r="M915" s="549"/>
      <c r="N915" s="550"/>
      <c r="O915" s="551"/>
    </row>
    <row r="916" spans="1:15" s="552" customFormat="1" ht="15" customHeight="1" x14ac:dyDescent="0.25">
      <c r="A916" s="543"/>
      <c r="B916" s="544" t="s">
        <v>657</v>
      </c>
      <c r="C916" s="513">
        <v>7356</v>
      </c>
      <c r="D916" s="545" t="s">
        <v>739</v>
      </c>
      <c r="E916" s="514" t="s">
        <v>740</v>
      </c>
      <c r="F916" s="546">
        <v>0.33</v>
      </c>
      <c r="G916" s="547">
        <v>18.38</v>
      </c>
      <c r="H916" s="548">
        <f t="shared" ref="H916" si="115">F916*G916</f>
        <v>6.0654000000000003</v>
      </c>
      <c r="I916" s="547"/>
      <c r="J916" s="549"/>
      <c r="K916" s="548"/>
      <c r="L916" s="547"/>
      <c r="M916" s="549"/>
      <c r="N916" s="550"/>
      <c r="O916" s="551"/>
    </row>
    <row r="917" spans="1:15" x14ac:dyDescent="0.25">
      <c r="A917" s="137"/>
      <c r="B917" s="127"/>
      <c r="C917" s="9"/>
      <c r="D917" s="125" t="s">
        <v>83</v>
      </c>
      <c r="E917" s="4"/>
      <c r="F917" s="121"/>
      <c r="G917" s="5"/>
      <c r="H917" s="114"/>
      <c r="I917" s="5"/>
      <c r="J917" s="115"/>
      <c r="K917" s="114"/>
      <c r="L917" s="5"/>
      <c r="M917" s="115"/>
      <c r="N917" s="95"/>
      <c r="O917" s="95"/>
    </row>
    <row r="918" spans="1:15" x14ac:dyDescent="0.25">
      <c r="A918" s="137"/>
      <c r="B918" s="127"/>
      <c r="C918" s="9"/>
      <c r="D918" s="125" t="s">
        <v>83</v>
      </c>
      <c r="E918" s="4"/>
      <c r="F918" s="121"/>
      <c r="G918" s="5"/>
      <c r="H918" s="114"/>
      <c r="I918" s="5"/>
      <c r="J918" s="115"/>
      <c r="K918" s="114"/>
      <c r="L918" s="5"/>
      <c r="M918" s="115"/>
      <c r="N918" s="95"/>
      <c r="O918" s="95"/>
    </row>
    <row r="919" spans="1:15" s="23" customFormat="1" ht="22.5" x14ac:dyDescent="0.2">
      <c r="A919" s="223" t="s">
        <v>78</v>
      </c>
      <c r="B919" s="224" t="s">
        <v>741</v>
      </c>
      <c r="C919" s="225" t="s">
        <v>543</v>
      </c>
      <c r="D919" s="226" t="s">
        <v>219</v>
      </c>
      <c r="E919" s="225" t="s">
        <v>94</v>
      </c>
      <c r="F919" s="515">
        <f>'MEMÓRIA DE CÁLCULO'!I133</f>
        <v>37.800000000000004</v>
      </c>
      <c r="G919" s="228"/>
      <c r="H919" s="229">
        <f>ROUND(SUM(H920:H926),2)</f>
        <v>12.4</v>
      </c>
      <c r="I919" s="229">
        <f>ROUND(SUM(I920:I926),2)</f>
        <v>5.32</v>
      </c>
      <c r="J919" s="231">
        <f>(H919+I919)</f>
        <v>17.72</v>
      </c>
      <c r="K919" s="229">
        <f>F919*H919</f>
        <v>468.72000000000008</v>
      </c>
      <c r="L919" s="230">
        <f>F919*I919</f>
        <v>201.09600000000003</v>
      </c>
      <c r="M919" s="231">
        <f>K919+L919</f>
        <v>669.81600000000014</v>
      </c>
      <c r="N919" s="227">
        <f>M919*$N$7</f>
        <v>181.38617280000003</v>
      </c>
      <c r="O919" s="227">
        <f>M919+N919</f>
        <v>851.2021728000002</v>
      </c>
    </row>
    <row r="920" spans="1:15" s="552" customFormat="1" ht="15" customHeight="1" x14ac:dyDescent="0.25">
      <c r="A920" s="543"/>
      <c r="B920" s="544" t="s">
        <v>715</v>
      </c>
      <c r="C920" s="513">
        <v>4783</v>
      </c>
      <c r="D920" s="545" t="s">
        <v>738</v>
      </c>
      <c r="E920" s="514" t="s">
        <v>42</v>
      </c>
      <c r="F920" s="546">
        <v>0.312</v>
      </c>
      <c r="G920" s="547">
        <v>12.57</v>
      </c>
      <c r="H920" s="548"/>
      <c r="I920" s="547">
        <f>F920*G920</f>
        <v>3.92184</v>
      </c>
      <c r="J920" s="549"/>
      <c r="K920" s="548"/>
      <c r="L920" s="547"/>
      <c r="M920" s="549"/>
      <c r="N920" s="550"/>
      <c r="O920" s="551"/>
    </row>
    <row r="921" spans="1:15" s="552" customFormat="1" ht="15" customHeight="1" x14ac:dyDescent="0.25">
      <c r="A921" s="543"/>
      <c r="B921" s="544" t="s">
        <v>658</v>
      </c>
      <c r="C921" s="513">
        <v>6111</v>
      </c>
      <c r="D921" s="545" t="s">
        <v>670</v>
      </c>
      <c r="E921" s="514" t="s">
        <v>42</v>
      </c>
      <c r="F921" s="546">
        <v>0.114</v>
      </c>
      <c r="G921" s="547">
        <v>8.92</v>
      </c>
      <c r="H921" s="548"/>
      <c r="I921" s="547">
        <f t="shared" ref="I921" si="116">F921*G921</f>
        <v>1.01688</v>
      </c>
      <c r="J921" s="549"/>
      <c r="K921" s="548"/>
      <c r="L921" s="547"/>
      <c r="M921" s="549"/>
      <c r="N921" s="550"/>
      <c r="O921" s="551"/>
    </row>
    <row r="922" spans="1:15" s="552" customFormat="1" ht="15" customHeight="1" x14ac:dyDescent="0.25">
      <c r="A922" s="543"/>
      <c r="B922" s="544" t="s">
        <v>657</v>
      </c>
      <c r="C922" s="513">
        <v>3767</v>
      </c>
      <c r="D922" s="545" t="s">
        <v>735</v>
      </c>
      <c r="E922" s="514" t="s">
        <v>81</v>
      </c>
      <c r="F922" s="546">
        <v>0.06</v>
      </c>
      <c r="G922" s="547">
        <v>0.73</v>
      </c>
      <c r="H922" s="548">
        <f t="shared" ref="H922" si="117">F922*G922</f>
        <v>4.3799999999999999E-2</v>
      </c>
      <c r="I922" s="547"/>
      <c r="J922" s="549"/>
      <c r="K922" s="548"/>
      <c r="L922" s="547"/>
      <c r="M922" s="549"/>
      <c r="N922" s="550"/>
      <c r="O922" s="551"/>
    </row>
    <row r="923" spans="1:15" s="552" customFormat="1" ht="15" customHeight="1" x14ac:dyDescent="0.25">
      <c r="A923" s="543"/>
      <c r="B923" s="544" t="s">
        <v>657</v>
      </c>
      <c r="C923" s="513">
        <v>4051</v>
      </c>
      <c r="D923" s="545" t="s">
        <v>736</v>
      </c>
      <c r="E923" s="514" t="s">
        <v>737</v>
      </c>
      <c r="F923" s="546">
        <v>4.8899999999999999E-2</v>
      </c>
      <c r="G923" s="547">
        <v>83.3</v>
      </c>
      <c r="H923" s="548">
        <f>F923*G923</f>
        <v>4.0733699999999997</v>
      </c>
      <c r="I923" s="547"/>
      <c r="J923" s="549"/>
      <c r="K923" s="548"/>
      <c r="L923" s="547"/>
      <c r="M923" s="549"/>
      <c r="N923" s="550"/>
      <c r="O923" s="551"/>
    </row>
    <row r="924" spans="1:15" s="552" customFormat="1" ht="15" customHeight="1" x14ac:dyDescent="0.25">
      <c r="A924" s="543"/>
      <c r="B924" s="544" t="s">
        <v>658</v>
      </c>
      <c r="C924" s="513">
        <v>5318</v>
      </c>
      <c r="D924" s="545" t="s">
        <v>742</v>
      </c>
      <c r="E924" s="514" t="s">
        <v>740</v>
      </c>
      <c r="F924" s="546">
        <v>0.04</v>
      </c>
      <c r="G924" s="547">
        <v>9.5</v>
      </c>
      <c r="H924" s="548"/>
      <c r="I924" s="547">
        <f t="shared" ref="I924" si="118">F924*G924</f>
        <v>0.38</v>
      </c>
      <c r="J924" s="549"/>
      <c r="K924" s="548"/>
      <c r="L924" s="547"/>
      <c r="M924" s="549"/>
      <c r="N924" s="550"/>
      <c r="O924" s="551"/>
    </row>
    <row r="925" spans="1:15" s="552" customFormat="1" ht="15" customHeight="1" x14ac:dyDescent="0.25">
      <c r="A925" s="543"/>
      <c r="B925" s="544" t="s">
        <v>657</v>
      </c>
      <c r="C925" s="513">
        <v>6086</v>
      </c>
      <c r="D925" s="545" t="s">
        <v>743</v>
      </c>
      <c r="E925" s="514" t="s">
        <v>744</v>
      </c>
      <c r="F925" s="546">
        <v>5.6000000000000001E-2</v>
      </c>
      <c r="G925" s="547">
        <v>82.34</v>
      </c>
      <c r="H925" s="548">
        <f t="shared" ref="H925" si="119">F925*G925</f>
        <v>4.61104</v>
      </c>
      <c r="I925" s="547"/>
      <c r="J925" s="549"/>
      <c r="K925" s="548"/>
      <c r="L925" s="547"/>
      <c r="M925" s="549"/>
      <c r="N925" s="550"/>
      <c r="O925" s="551"/>
    </row>
    <row r="926" spans="1:15" s="552" customFormat="1" ht="15" customHeight="1" x14ac:dyDescent="0.25">
      <c r="A926" s="543"/>
      <c r="B926" s="544" t="s">
        <v>657</v>
      </c>
      <c r="C926" s="513">
        <v>7311</v>
      </c>
      <c r="D926" s="545" t="s">
        <v>745</v>
      </c>
      <c r="E926" s="514" t="s">
        <v>740</v>
      </c>
      <c r="F926" s="546">
        <v>0.16</v>
      </c>
      <c r="G926" s="547">
        <v>22.92</v>
      </c>
      <c r="H926" s="548">
        <f>F926*G926</f>
        <v>3.6672000000000002</v>
      </c>
      <c r="I926" s="547"/>
      <c r="J926" s="549"/>
      <c r="K926" s="548"/>
      <c r="L926" s="547"/>
      <c r="M926" s="549"/>
      <c r="N926" s="550"/>
      <c r="O926" s="551"/>
    </row>
    <row r="927" spans="1:15" x14ac:dyDescent="0.25">
      <c r="A927" s="137"/>
      <c r="B927" s="127"/>
      <c r="C927" s="9"/>
      <c r="D927" s="125" t="s">
        <v>83</v>
      </c>
      <c r="E927" s="4"/>
      <c r="F927" s="121"/>
      <c r="G927" s="5"/>
      <c r="H927" s="114"/>
      <c r="I927" s="5"/>
      <c r="J927" s="115"/>
      <c r="K927" s="114"/>
      <c r="L927" s="5"/>
      <c r="M927" s="115"/>
      <c r="N927" s="95"/>
      <c r="O927" s="95"/>
    </row>
    <row r="928" spans="1:15" s="23" customFormat="1" ht="22.5" x14ac:dyDescent="0.2">
      <c r="A928" s="223" t="s">
        <v>78</v>
      </c>
      <c r="B928" s="224" t="s">
        <v>741</v>
      </c>
      <c r="C928" s="225" t="s">
        <v>544</v>
      </c>
      <c r="D928" s="226" t="s">
        <v>769</v>
      </c>
      <c r="E928" s="225" t="s">
        <v>94</v>
      </c>
      <c r="F928" s="515">
        <f>'MEMÓRIA DE CÁLCULO'!G111</f>
        <v>21.6</v>
      </c>
      <c r="G928" s="228"/>
      <c r="H928" s="229">
        <f>ROUND(SUM(H929:H935),2)</f>
        <v>12.4</v>
      </c>
      <c r="I928" s="229">
        <f>ROUND(SUM(I929:I935),2)</f>
        <v>5.32</v>
      </c>
      <c r="J928" s="231">
        <f>(H928+I928)</f>
        <v>17.72</v>
      </c>
      <c r="K928" s="229">
        <f>F928*H928</f>
        <v>267.84000000000003</v>
      </c>
      <c r="L928" s="230">
        <f>F928*I928</f>
        <v>114.91200000000002</v>
      </c>
      <c r="M928" s="231">
        <f>K928+L928</f>
        <v>382.75200000000007</v>
      </c>
      <c r="N928" s="227">
        <f>M928*$N$7</f>
        <v>103.64924160000001</v>
      </c>
      <c r="O928" s="227">
        <f>M928+N928</f>
        <v>486.40124160000005</v>
      </c>
    </row>
    <row r="929" spans="1:15" s="552" customFormat="1" ht="15" customHeight="1" x14ac:dyDescent="0.25">
      <c r="A929" s="543"/>
      <c r="B929" s="544" t="s">
        <v>715</v>
      </c>
      <c r="C929" s="513">
        <v>4783</v>
      </c>
      <c r="D929" s="545" t="s">
        <v>738</v>
      </c>
      <c r="E929" s="514" t="s">
        <v>42</v>
      </c>
      <c r="F929" s="546">
        <v>0.312</v>
      </c>
      <c r="G929" s="547">
        <v>12.57</v>
      </c>
      <c r="H929" s="548"/>
      <c r="I929" s="547">
        <f>F929*G929</f>
        <v>3.92184</v>
      </c>
      <c r="J929" s="549"/>
      <c r="K929" s="548"/>
      <c r="L929" s="547"/>
      <c r="M929" s="549"/>
      <c r="N929" s="550"/>
      <c r="O929" s="551"/>
    </row>
    <row r="930" spans="1:15" s="552" customFormat="1" ht="15" customHeight="1" x14ac:dyDescent="0.25">
      <c r="A930" s="543"/>
      <c r="B930" s="544" t="s">
        <v>658</v>
      </c>
      <c r="C930" s="513">
        <v>6111</v>
      </c>
      <c r="D930" s="545" t="s">
        <v>670</v>
      </c>
      <c r="E930" s="514" t="s">
        <v>42</v>
      </c>
      <c r="F930" s="546">
        <v>0.114</v>
      </c>
      <c r="G930" s="547">
        <v>8.92</v>
      </c>
      <c r="H930" s="548"/>
      <c r="I930" s="547">
        <f t="shared" ref="I930" si="120">F930*G930</f>
        <v>1.01688</v>
      </c>
      <c r="J930" s="549"/>
      <c r="K930" s="548"/>
      <c r="L930" s="547"/>
      <c r="M930" s="549"/>
      <c r="N930" s="550"/>
      <c r="O930" s="551"/>
    </row>
    <row r="931" spans="1:15" s="552" customFormat="1" ht="15" customHeight="1" x14ac:dyDescent="0.25">
      <c r="A931" s="543"/>
      <c r="B931" s="544" t="s">
        <v>657</v>
      </c>
      <c r="C931" s="513">
        <v>3767</v>
      </c>
      <c r="D931" s="545" t="s">
        <v>735</v>
      </c>
      <c r="E931" s="514" t="s">
        <v>81</v>
      </c>
      <c r="F931" s="546">
        <v>0.06</v>
      </c>
      <c r="G931" s="547">
        <v>0.73</v>
      </c>
      <c r="H931" s="548">
        <f t="shared" ref="H931" si="121">F931*G931</f>
        <v>4.3799999999999999E-2</v>
      </c>
      <c r="I931" s="547"/>
      <c r="J931" s="549"/>
      <c r="K931" s="548"/>
      <c r="L931" s="547"/>
      <c r="M931" s="549"/>
      <c r="N931" s="550"/>
      <c r="O931" s="551"/>
    </row>
    <row r="932" spans="1:15" s="552" customFormat="1" ht="15" customHeight="1" x14ac:dyDescent="0.25">
      <c r="A932" s="543"/>
      <c r="B932" s="544" t="s">
        <v>657</v>
      </c>
      <c r="C932" s="513">
        <v>4051</v>
      </c>
      <c r="D932" s="545" t="s">
        <v>736</v>
      </c>
      <c r="E932" s="514" t="s">
        <v>737</v>
      </c>
      <c r="F932" s="546">
        <v>4.8899999999999999E-2</v>
      </c>
      <c r="G932" s="547">
        <v>83.3</v>
      </c>
      <c r="H932" s="548">
        <f>F932*G932</f>
        <v>4.0733699999999997</v>
      </c>
      <c r="I932" s="547"/>
      <c r="J932" s="549"/>
      <c r="K932" s="548"/>
      <c r="L932" s="547"/>
      <c r="M932" s="549"/>
      <c r="N932" s="550"/>
      <c r="O932" s="551"/>
    </row>
    <row r="933" spans="1:15" s="552" customFormat="1" ht="15" customHeight="1" x14ac:dyDescent="0.25">
      <c r="A933" s="543"/>
      <c r="B933" s="544" t="s">
        <v>658</v>
      </c>
      <c r="C933" s="513">
        <v>5318</v>
      </c>
      <c r="D933" s="545" t="s">
        <v>742</v>
      </c>
      <c r="E933" s="514" t="s">
        <v>740</v>
      </c>
      <c r="F933" s="546">
        <v>0.04</v>
      </c>
      <c r="G933" s="547">
        <v>9.5</v>
      </c>
      <c r="H933" s="548"/>
      <c r="I933" s="547">
        <f t="shared" ref="I933" si="122">F933*G933</f>
        <v>0.38</v>
      </c>
      <c r="J933" s="549"/>
      <c r="K933" s="548"/>
      <c r="L933" s="547"/>
      <c r="M933" s="549"/>
      <c r="N933" s="550"/>
      <c r="O933" s="551"/>
    </row>
    <row r="934" spans="1:15" s="552" customFormat="1" ht="15" customHeight="1" x14ac:dyDescent="0.25">
      <c r="A934" s="543"/>
      <c r="B934" s="544" t="s">
        <v>657</v>
      </c>
      <c r="C934" s="513">
        <v>6086</v>
      </c>
      <c r="D934" s="545" t="s">
        <v>743</v>
      </c>
      <c r="E934" s="514" t="s">
        <v>744</v>
      </c>
      <c r="F934" s="546">
        <v>5.6000000000000001E-2</v>
      </c>
      <c r="G934" s="547">
        <v>82.34</v>
      </c>
      <c r="H934" s="548">
        <f t="shared" ref="H934" si="123">F934*G934</f>
        <v>4.61104</v>
      </c>
      <c r="I934" s="547"/>
      <c r="J934" s="549"/>
      <c r="K934" s="548"/>
      <c r="L934" s="547"/>
      <c r="M934" s="549"/>
      <c r="N934" s="550"/>
      <c r="O934" s="551"/>
    </row>
    <row r="935" spans="1:15" s="552" customFormat="1" ht="15" customHeight="1" x14ac:dyDescent="0.25">
      <c r="A935" s="543"/>
      <c r="B935" s="544" t="s">
        <v>657</v>
      </c>
      <c r="C935" s="513">
        <v>7311</v>
      </c>
      <c r="D935" s="545" t="s">
        <v>745</v>
      </c>
      <c r="E935" s="514" t="s">
        <v>740</v>
      </c>
      <c r="F935" s="546">
        <v>0.16</v>
      </c>
      <c r="G935" s="547">
        <v>22.92</v>
      </c>
      <c r="H935" s="548">
        <f>F935*G935</f>
        <v>3.6672000000000002</v>
      </c>
      <c r="I935" s="547"/>
      <c r="J935" s="549"/>
      <c r="K935" s="548"/>
      <c r="L935" s="547"/>
      <c r="M935" s="549"/>
      <c r="N935" s="550"/>
      <c r="O935" s="551"/>
    </row>
    <row r="936" spans="1:15" x14ac:dyDescent="0.25">
      <c r="A936" s="137"/>
      <c r="B936" s="127"/>
      <c r="C936" s="9"/>
      <c r="D936" s="125" t="s">
        <v>83</v>
      </c>
      <c r="E936" s="4"/>
      <c r="F936" s="121"/>
      <c r="G936" s="5"/>
      <c r="H936" s="114"/>
      <c r="I936" s="5"/>
      <c r="J936" s="115"/>
      <c r="K936" s="114"/>
      <c r="L936" s="5"/>
      <c r="M936" s="115"/>
      <c r="N936" s="95"/>
      <c r="O936" s="95"/>
    </row>
    <row r="937" spans="1:15" x14ac:dyDescent="0.25">
      <c r="A937" s="137"/>
      <c r="B937" s="127"/>
      <c r="C937" s="9"/>
      <c r="D937" s="125" t="s">
        <v>83</v>
      </c>
      <c r="E937" s="4"/>
      <c r="F937" s="121"/>
      <c r="G937" s="5"/>
      <c r="H937" s="114"/>
      <c r="I937" s="5"/>
      <c r="J937" s="115"/>
      <c r="K937" s="114"/>
      <c r="L937" s="5"/>
      <c r="M937" s="115"/>
      <c r="N937" s="95"/>
      <c r="O937" s="95"/>
    </row>
    <row r="938" spans="1:15" s="266" customFormat="1" ht="12.75" x14ac:dyDescent="0.2">
      <c r="A938" s="516"/>
      <c r="B938" s="517"/>
      <c r="C938" s="518" t="s">
        <v>195</v>
      </c>
      <c r="D938" s="519" t="s">
        <v>221</v>
      </c>
      <c r="E938" s="520"/>
      <c r="F938" s="519"/>
      <c r="G938" s="520"/>
      <c r="H938" s="521"/>
      <c r="I938" s="522"/>
      <c r="J938" s="523"/>
      <c r="K938" s="521"/>
      <c r="L938" s="522"/>
      <c r="M938" s="523"/>
      <c r="N938" s="524"/>
      <c r="O938" s="525">
        <f>SUM(O940:O944)</f>
        <v>40.945175999999996</v>
      </c>
    </row>
    <row r="939" spans="1:15" x14ac:dyDescent="0.25">
      <c r="A939" s="137"/>
      <c r="B939" s="127"/>
      <c r="C939" s="9"/>
      <c r="D939" s="125" t="s">
        <v>83</v>
      </c>
      <c r="E939" s="4"/>
      <c r="F939" s="121"/>
      <c r="G939" s="5"/>
      <c r="H939" s="114"/>
      <c r="I939" s="5"/>
      <c r="J939" s="115"/>
      <c r="K939" s="114"/>
      <c r="L939" s="5"/>
      <c r="M939" s="115"/>
      <c r="N939" s="96"/>
      <c r="O939" s="96"/>
    </row>
    <row r="940" spans="1:15" s="23" customFormat="1" ht="22.5" x14ac:dyDescent="0.2">
      <c r="A940" s="223"/>
      <c r="B940" s="224" t="s">
        <v>222</v>
      </c>
      <c r="C940" s="225" t="s">
        <v>398</v>
      </c>
      <c r="D940" s="226" t="s">
        <v>1078</v>
      </c>
      <c r="E940" s="225" t="s">
        <v>41</v>
      </c>
      <c r="F940" s="515">
        <v>6</v>
      </c>
      <c r="G940" s="228"/>
      <c r="H940" s="230">
        <f>ROUND(SUM(H941:H942),2)</f>
        <v>0</v>
      </c>
      <c r="I940" s="230">
        <f>ROUND(SUM(I941:I942),2)</f>
        <v>5.37</v>
      </c>
      <c r="J940" s="231">
        <f>(H940+I940)</f>
        <v>5.37</v>
      </c>
      <c r="K940" s="229">
        <f>F940*H940</f>
        <v>0</v>
      </c>
      <c r="L940" s="230">
        <f>F940*I940</f>
        <v>32.22</v>
      </c>
      <c r="M940" s="231">
        <f>K940+L940</f>
        <v>32.22</v>
      </c>
      <c r="N940" s="227">
        <f>M940*$N$7</f>
        <v>8.7251759999999994</v>
      </c>
      <c r="O940" s="227">
        <f>M940+N940</f>
        <v>40.945175999999996</v>
      </c>
    </row>
    <row r="941" spans="1:15" s="552" customFormat="1" ht="15" customHeight="1" x14ac:dyDescent="0.25">
      <c r="A941" s="543"/>
      <c r="B941" s="544" t="s">
        <v>715</v>
      </c>
      <c r="C941" s="513">
        <v>4750</v>
      </c>
      <c r="D941" s="545" t="s">
        <v>714</v>
      </c>
      <c r="E941" s="514" t="s">
        <v>42</v>
      </c>
      <c r="F941" s="546">
        <v>0.25</v>
      </c>
      <c r="G941" s="547">
        <v>12.57</v>
      </c>
      <c r="H941" s="548"/>
      <c r="I941" s="547">
        <f>F941*G941</f>
        <v>3.1425000000000001</v>
      </c>
      <c r="J941" s="549"/>
      <c r="K941" s="548"/>
      <c r="L941" s="547"/>
      <c r="M941" s="549"/>
      <c r="N941" s="550"/>
      <c r="O941" s="551"/>
    </row>
    <row r="942" spans="1:15" s="552" customFormat="1" ht="15" customHeight="1" x14ac:dyDescent="0.25">
      <c r="A942" s="543"/>
      <c r="B942" s="544" t="s">
        <v>658</v>
      </c>
      <c r="C942" s="513">
        <v>6111</v>
      </c>
      <c r="D942" s="545" t="s">
        <v>670</v>
      </c>
      <c r="E942" s="514" t="s">
        <v>42</v>
      </c>
      <c r="F942" s="546">
        <v>0.25</v>
      </c>
      <c r="G942" s="547">
        <v>8.92</v>
      </c>
      <c r="H942" s="548"/>
      <c r="I942" s="547">
        <f t="shared" ref="I942" si="124">F942*G942</f>
        <v>2.23</v>
      </c>
      <c r="J942" s="549"/>
      <c r="K942" s="548"/>
      <c r="L942" s="547"/>
      <c r="M942" s="549"/>
      <c r="N942" s="550"/>
      <c r="O942" s="551"/>
    </row>
    <row r="943" spans="1:15" s="179" customFormat="1" ht="11.25" x14ac:dyDescent="0.25">
      <c r="A943" s="173"/>
      <c r="B943" s="174"/>
      <c r="C943" s="175"/>
      <c r="D943" s="176"/>
      <c r="E943" s="177"/>
      <c r="F943" s="178"/>
      <c r="G943" s="33"/>
      <c r="H943" s="108"/>
      <c r="I943" s="33"/>
      <c r="J943" s="109"/>
      <c r="K943" s="108"/>
      <c r="L943" s="33"/>
      <c r="M943" s="109"/>
      <c r="N943" s="92"/>
      <c r="O943" s="222"/>
    </row>
    <row r="944" spans="1:15" s="179" customFormat="1" ht="11.25" x14ac:dyDescent="0.25">
      <c r="A944" s="173"/>
      <c r="B944" s="174"/>
      <c r="C944" s="175"/>
      <c r="D944" s="176"/>
      <c r="E944" s="177"/>
      <c r="F944" s="178"/>
      <c r="G944" s="33"/>
      <c r="H944" s="108"/>
      <c r="I944" s="33"/>
      <c r="J944" s="109"/>
      <c r="K944" s="108"/>
      <c r="L944" s="33"/>
      <c r="M944" s="109"/>
      <c r="N944" s="92"/>
      <c r="O944" s="222"/>
    </row>
    <row r="945" spans="1:15" s="23" customFormat="1" ht="31.5" x14ac:dyDescent="0.2">
      <c r="A945" s="149"/>
      <c r="B945" s="150"/>
      <c r="C945" s="511">
        <v>5</v>
      </c>
      <c r="D945" s="151" t="s">
        <v>437</v>
      </c>
      <c r="E945" s="152"/>
      <c r="F945" s="151"/>
      <c r="G945" s="152"/>
      <c r="H945" s="153"/>
      <c r="I945" s="154"/>
      <c r="J945" s="155"/>
      <c r="K945" s="153"/>
      <c r="L945" s="154"/>
      <c r="M945" s="155"/>
      <c r="N945" s="156"/>
      <c r="O945" s="157">
        <f>SUM(O947:O1085)/2</f>
        <v>11085.93207216</v>
      </c>
    </row>
    <row r="946" spans="1:15" s="23" customFormat="1" ht="14.25" x14ac:dyDescent="0.2">
      <c r="A946" s="134"/>
      <c r="B946" s="129"/>
      <c r="C946" s="29"/>
      <c r="D946" s="117"/>
      <c r="E946" s="30"/>
      <c r="F946" s="118"/>
      <c r="G946" s="31"/>
      <c r="H946" s="104"/>
      <c r="I946" s="27"/>
      <c r="J946" s="105"/>
      <c r="K946" s="104"/>
      <c r="L946" s="27"/>
      <c r="M946" s="105"/>
      <c r="N946" s="93"/>
      <c r="O946" s="93"/>
    </row>
    <row r="947" spans="1:15" s="266" customFormat="1" ht="12.75" x14ac:dyDescent="0.2">
      <c r="A947" s="516"/>
      <c r="B947" s="517"/>
      <c r="C947" s="518" t="s">
        <v>431</v>
      </c>
      <c r="D947" s="519" t="s">
        <v>167</v>
      </c>
      <c r="E947" s="520"/>
      <c r="F947" s="519"/>
      <c r="G947" s="520"/>
      <c r="H947" s="521"/>
      <c r="I947" s="522"/>
      <c r="J947" s="523"/>
      <c r="K947" s="521"/>
      <c r="L947" s="522"/>
      <c r="M947" s="523"/>
      <c r="N947" s="524"/>
      <c r="O947" s="525">
        <f>SUM(O949:O959)</f>
        <v>68.661324000000008</v>
      </c>
    </row>
    <row r="948" spans="1:15" s="23" customFormat="1" ht="14.25" x14ac:dyDescent="0.2">
      <c r="A948" s="134"/>
      <c r="B948" s="130"/>
      <c r="C948" s="34"/>
      <c r="D948" s="117" t="s">
        <v>83</v>
      </c>
      <c r="E948" s="30"/>
      <c r="F948" s="118"/>
      <c r="G948" s="31"/>
      <c r="H948" s="104"/>
      <c r="I948" s="27"/>
      <c r="J948" s="105"/>
      <c r="K948" s="104"/>
      <c r="L948" s="27"/>
      <c r="M948" s="105"/>
      <c r="N948" s="91"/>
      <c r="O948" s="91"/>
    </row>
    <row r="949" spans="1:15" s="23" customFormat="1" ht="14.25" x14ac:dyDescent="0.2">
      <c r="A949" s="223" t="s">
        <v>78</v>
      </c>
      <c r="B949" s="224">
        <v>85371</v>
      </c>
      <c r="C949" s="225" t="s">
        <v>435</v>
      </c>
      <c r="D949" s="226" t="s">
        <v>432</v>
      </c>
      <c r="E949" s="225" t="s">
        <v>27</v>
      </c>
      <c r="F949" s="515">
        <f>'MEMÓRIA DE CÁLCULO'!F216</f>
        <v>13</v>
      </c>
      <c r="G949" s="228"/>
      <c r="H949" s="230">
        <f>ROUND(SUM(H950:H951),2)</f>
        <v>0</v>
      </c>
      <c r="I949" s="230">
        <f>ROUND(SUM(I950:I951),2)</f>
        <v>1.68</v>
      </c>
      <c r="J949" s="231">
        <f>(H949+I949)</f>
        <v>1.68</v>
      </c>
      <c r="K949" s="229">
        <f>F949*H949</f>
        <v>0</v>
      </c>
      <c r="L949" s="230">
        <f>F949*I949</f>
        <v>21.84</v>
      </c>
      <c r="M949" s="231">
        <f>K949+L949</f>
        <v>21.84</v>
      </c>
      <c r="N949" s="227">
        <f>M949*$N$7</f>
        <v>5.9142719999999995</v>
      </c>
      <c r="O949" s="227">
        <f>M949+N949</f>
        <v>27.754272</v>
      </c>
    </row>
    <row r="950" spans="1:15" s="552" customFormat="1" ht="15" customHeight="1" x14ac:dyDescent="0.25">
      <c r="A950" s="543"/>
      <c r="B950" s="544" t="s">
        <v>715</v>
      </c>
      <c r="C950" s="513">
        <v>4750</v>
      </c>
      <c r="D950" s="545" t="s">
        <v>714</v>
      </c>
      <c r="E950" s="514" t="s">
        <v>42</v>
      </c>
      <c r="F950" s="546">
        <v>0.02</v>
      </c>
      <c r="G950" s="547">
        <v>12.57</v>
      </c>
      <c r="H950" s="548"/>
      <c r="I950" s="547">
        <f>F950*G950</f>
        <v>0.25140000000000001</v>
      </c>
      <c r="J950" s="549"/>
      <c r="K950" s="548"/>
      <c r="L950" s="547"/>
      <c r="M950" s="549"/>
      <c r="N950" s="550"/>
      <c r="O950" s="551"/>
    </row>
    <row r="951" spans="1:15" s="552" customFormat="1" ht="15" customHeight="1" x14ac:dyDescent="0.25">
      <c r="A951" s="543"/>
      <c r="B951" s="544" t="s">
        <v>658</v>
      </c>
      <c r="C951" s="513">
        <v>6111</v>
      </c>
      <c r="D951" s="545" t="s">
        <v>670</v>
      </c>
      <c r="E951" s="514" t="s">
        <v>42</v>
      </c>
      <c r="F951" s="546">
        <v>0.16</v>
      </c>
      <c r="G951" s="547">
        <v>8.92</v>
      </c>
      <c r="H951" s="548"/>
      <c r="I951" s="547">
        <f t="shared" ref="I951" si="125">F951*G951</f>
        <v>1.4272</v>
      </c>
      <c r="J951" s="549"/>
      <c r="K951" s="548"/>
      <c r="L951" s="547"/>
      <c r="M951" s="549"/>
      <c r="N951" s="550"/>
      <c r="O951" s="551"/>
    </row>
    <row r="952" spans="1:15" s="167" customFormat="1" ht="11.25" x14ac:dyDescent="0.2">
      <c r="A952" s="170"/>
      <c r="B952" s="129"/>
      <c r="C952" s="29"/>
      <c r="D952" s="117"/>
      <c r="E952" s="30"/>
      <c r="F952" s="118"/>
      <c r="G952" s="31"/>
      <c r="H952" s="104"/>
      <c r="I952" s="27"/>
      <c r="J952" s="105"/>
      <c r="K952" s="104"/>
      <c r="L952" s="27"/>
      <c r="M952" s="105"/>
      <c r="N952" s="93"/>
      <c r="O952" s="206"/>
    </row>
    <row r="953" spans="1:15" s="23" customFormat="1" ht="22.5" x14ac:dyDescent="0.2">
      <c r="A953" s="223" t="s">
        <v>78</v>
      </c>
      <c r="B953" s="224" t="s">
        <v>681</v>
      </c>
      <c r="C953" s="225" t="s">
        <v>804</v>
      </c>
      <c r="D953" s="226" t="s">
        <v>226</v>
      </c>
      <c r="E953" s="225" t="s">
        <v>27</v>
      </c>
      <c r="F953" s="515">
        <v>4</v>
      </c>
      <c r="G953" s="228"/>
      <c r="H953" s="229">
        <f>ROUND(SUM(H954:H955),2)</f>
        <v>0</v>
      </c>
      <c r="I953" s="229">
        <f>ROUND(SUM(I954:I955),2)</f>
        <v>4.26</v>
      </c>
      <c r="J953" s="231">
        <f>(H953+I953)</f>
        <v>4.26</v>
      </c>
      <c r="K953" s="229">
        <f>F953*H953</f>
        <v>0</v>
      </c>
      <c r="L953" s="230">
        <f>F953*I953</f>
        <v>17.04</v>
      </c>
      <c r="M953" s="231">
        <f>K953+L953</f>
        <v>17.04</v>
      </c>
      <c r="N953" s="227">
        <f>M953*$N$7</f>
        <v>4.6144319999999999</v>
      </c>
      <c r="O953" s="227">
        <f>M953+N953</f>
        <v>21.654432</v>
      </c>
    </row>
    <row r="954" spans="1:15" s="552" customFormat="1" ht="15" customHeight="1" x14ac:dyDescent="0.25">
      <c r="A954" s="543"/>
      <c r="B954" s="544" t="s">
        <v>658</v>
      </c>
      <c r="C954" s="513">
        <v>1214</v>
      </c>
      <c r="D954" s="545" t="s">
        <v>680</v>
      </c>
      <c r="E954" s="514" t="s">
        <v>42</v>
      </c>
      <c r="F954" s="546">
        <v>0.2</v>
      </c>
      <c r="G954" s="547">
        <v>12.39</v>
      </c>
      <c r="H954" s="548"/>
      <c r="I954" s="547">
        <f>F954*G954</f>
        <v>2.4780000000000002</v>
      </c>
      <c r="J954" s="549"/>
      <c r="K954" s="548"/>
      <c r="L954" s="547"/>
      <c r="M954" s="549"/>
      <c r="N954" s="550"/>
      <c r="O954" s="551"/>
    </row>
    <row r="955" spans="1:15" s="552" customFormat="1" ht="15" customHeight="1" x14ac:dyDescent="0.25">
      <c r="A955" s="543"/>
      <c r="B955" s="544" t="s">
        <v>658</v>
      </c>
      <c r="C955" s="513">
        <v>6111</v>
      </c>
      <c r="D955" s="545" t="s">
        <v>670</v>
      </c>
      <c r="E955" s="514" t="s">
        <v>42</v>
      </c>
      <c r="F955" s="546">
        <v>0.2</v>
      </c>
      <c r="G955" s="547">
        <v>8.92</v>
      </c>
      <c r="H955" s="548"/>
      <c r="I955" s="547">
        <f>F955*G955</f>
        <v>1.784</v>
      </c>
      <c r="J955" s="549"/>
      <c r="K955" s="548"/>
      <c r="L955" s="547"/>
      <c r="M955" s="549"/>
      <c r="N955" s="550"/>
      <c r="O955" s="551"/>
    </row>
    <row r="956" spans="1:15" s="167" customFormat="1" ht="11.25" x14ac:dyDescent="0.2">
      <c r="A956" s="170"/>
      <c r="B956" s="129"/>
      <c r="C956" s="29"/>
      <c r="D956" s="117" t="s">
        <v>83</v>
      </c>
      <c r="E956" s="30"/>
      <c r="F956" s="118"/>
      <c r="G956" s="31"/>
      <c r="H956" s="104"/>
      <c r="I956" s="27"/>
      <c r="J956" s="105"/>
      <c r="K956" s="104"/>
      <c r="L956" s="27"/>
      <c r="M956" s="105"/>
      <c r="N956" s="93"/>
      <c r="O956" s="206"/>
    </row>
    <row r="957" spans="1:15" s="23" customFormat="1" ht="22.5" x14ac:dyDescent="0.2">
      <c r="A957" s="223" t="s">
        <v>79</v>
      </c>
      <c r="B957" s="224" t="s">
        <v>498</v>
      </c>
      <c r="C957" s="225" t="s">
        <v>545</v>
      </c>
      <c r="D957" s="226" t="s">
        <v>499</v>
      </c>
      <c r="E957" s="225" t="s">
        <v>81</v>
      </c>
      <c r="F957" s="515">
        <v>1</v>
      </c>
      <c r="G957" s="228"/>
      <c r="H957" s="229">
        <f>ROUND(SUM(H958:H958),2)</f>
        <v>0</v>
      </c>
      <c r="I957" s="230">
        <f>ROUND(SUM(I958:I958),2)</f>
        <v>15.15</v>
      </c>
      <c r="J957" s="231">
        <f>(H957+I957)</f>
        <v>15.15</v>
      </c>
      <c r="K957" s="229">
        <f>F957*H957</f>
        <v>0</v>
      </c>
      <c r="L957" s="230">
        <f>F957*I957</f>
        <v>15.15</v>
      </c>
      <c r="M957" s="231">
        <f>K957+L957</f>
        <v>15.15</v>
      </c>
      <c r="N957" s="227">
        <f>M957*$N$7</f>
        <v>4.1026199999999999</v>
      </c>
      <c r="O957" s="227">
        <f>M957+N957</f>
        <v>19.25262</v>
      </c>
    </row>
    <row r="958" spans="1:15" s="552" customFormat="1" ht="15" customHeight="1" x14ac:dyDescent="0.25">
      <c r="A958" s="543"/>
      <c r="B958" s="544"/>
      <c r="C958" s="513"/>
      <c r="D958" s="545" t="str">
        <f>D957</f>
        <v>Furo em concreto com broca de widia, utilizando martele elétrico Ø 1 1/2" profundidade 15 cm</v>
      </c>
      <c r="E958" s="514" t="s">
        <v>81</v>
      </c>
      <c r="F958" s="546">
        <v>1</v>
      </c>
      <c r="G958" s="547">
        <v>15.15</v>
      </c>
      <c r="H958" s="548"/>
      <c r="I958" s="547">
        <f>F958*G958</f>
        <v>15.15</v>
      </c>
      <c r="J958" s="549"/>
      <c r="K958" s="548"/>
      <c r="L958" s="547"/>
      <c r="M958" s="549"/>
      <c r="N958" s="550"/>
      <c r="O958" s="551"/>
    </row>
    <row r="959" spans="1:15" s="167" customFormat="1" ht="11.25" x14ac:dyDescent="0.2">
      <c r="A959" s="170"/>
      <c r="B959" s="129"/>
      <c r="C959" s="29"/>
      <c r="D959" s="117" t="s">
        <v>83</v>
      </c>
      <c r="E959" s="30"/>
      <c r="F959" s="476"/>
      <c r="G959" s="477"/>
      <c r="H959" s="478"/>
      <c r="I959" s="479"/>
      <c r="J959" s="480"/>
      <c r="K959" s="478"/>
      <c r="L959" s="479"/>
      <c r="M959" s="480"/>
      <c r="N959" s="93"/>
      <c r="O959" s="206"/>
    </row>
    <row r="960" spans="1:15" s="266" customFormat="1" ht="12.75" x14ac:dyDescent="0.2">
      <c r="A960" s="516"/>
      <c r="B960" s="517"/>
      <c r="C960" s="518" t="s">
        <v>433</v>
      </c>
      <c r="D960" s="519" t="s">
        <v>101</v>
      </c>
      <c r="E960" s="520"/>
      <c r="F960" s="519"/>
      <c r="G960" s="520"/>
      <c r="H960" s="521"/>
      <c r="I960" s="522"/>
      <c r="J960" s="523"/>
      <c r="K960" s="521"/>
      <c r="L960" s="522"/>
      <c r="M960" s="523"/>
      <c r="N960" s="524"/>
      <c r="O960" s="525">
        <f>SUM(O962:O966)</f>
        <v>1485.0314639999999</v>
      </c>
    </row>
    <row r="961" spans="1:15" s="23" customFormat="1" ht="14.25" x14ac:dyDescent="0.2">
      <c r="A961" s="134"/>
      <c r="B961" s="130"/>
      <c r="C961" s="34"/>
      <c r="D961" s="117" t="s">
        <v>83</v>
      </c>
      <c r="E961" s="30"/>
      <c r="F961" s="118"/>
      <c r="G961" s="31"/>
      <c r="H961" s="104"/>
      <c r="I961" s="27"/>
      <c r="J961" s="105"/>
      <c r="K961" s="104"/>
      <c r="L961" s="27"/>
      <c r="M961" s="105"/>
      <c r="N961" s="92"/>
      <c r="O961" s="92"/>
    </row>
    <row r="962" spans="1:15" s="23" customFormat="1" ht="14.25" x14ac:dyDescent="0.2">
      <c r="A962" s="135"/>
      <c r="B962" s="120"/>
      <c r="C962" s="122"/>
      <c r="D962" s="124" t="s">
        <v>102</v>
      </c>
      <c r="E962" s="122"/>
      <c r="F962" s="90"/>
      <c r="G962" s="116"/>
      <c r="H962" s="102"/>
      <c r="I962" s="35"/>
      <c r="J962" s="103"/>
      <c r="K962" s="102"/>
      <c r="L962" s="35"/>
      <c r="M962" s="103"/>
      <c r="N962" s="90"/>
      <c r="O962" s="90"/>
    </row>
    <row r="963" spans="1:15" s="23" customFormat="1" ht="14.25" x14ac:dyDescent="0.2">
      <c r="A963" s="134"/>
      <c r="B963" s="130"/>
      <c r="C963" s="34"/>
      <c r="D963" s="117" t="s">
        <v>83</v>
      </c>
      <c r="E963" s="30"/>
      <c r="F963" s="118"/>
      <c r="G963" s="31"/>
      <c r="H963" s="104"/>
      <c r="I963" s="27"/>
      <c r="J963" s="105"/>
      <c r="K963" s="104"/>
      <c r="L963" s="27"/>
      <c r="M963" s="105"/>
      <c r="N963" s="92"/>
      <c r="O963" s="92"/>
    </row>
    <row r="964" spans="1:15" s="23" customFormat="1" ht="33.75" x14ac:dyDescent="0.2">
      <c r="A964" s="223" t="s">
        <v>79</v>
      </c>
      <c r="B964" s="224" t="s">
        <v>751</v>
      </c>
      <c r="C964" s="225" t="s">
        <v>805</v>
      </c>
      <c r="D964" s="226" t="s">
        <v>758</v>
      </c>
      <c r="E964" s="225" t="s">
        <v>94</v>
      </c>
      <c r="F964" s="515">
        <f>'MEMÓRIA DE CÁLCULO'!H216</f>
        <v>14</v>
      </c>
      <c r="G964" s="228"/>
      <c r="H964" s="229">
        <f>H965</f>
        <v>83.47</v>
      </c>
      <c r="I964" s="230">
        <v>0</v>
      </c>
      <c r="J964" s="231">
        <f>(H964+I964)</f>
        <v>83.47</v>
      </c>
      <c r="K964" s="229">
        <f>F964*H964</f>
        <v>1168.58</v>
      </c>
      <c r="L964" s="230">
        <f>F964*I964</f>
        <v>0</v>
      </c>
      <c r="M964" s="231">
        <f>K964+L964</f>
        <v>1168.58</v>
      </c>
      <c r="N964" s="227">
        <f>M964*$N$7</f>
        <v>316.45146399999999</v>
      </c>
      <c r="O964" s="227">
        <f>M964+N964</f>
        <v>1485.0314639999999</v>
      </c>
    </row>
    <row r="965" spans="1:15" s="552" customFormat="1" ht="24.75" customHeight="1" x14ac:dyDescent="0.25">
      <c r="A965" s="543"/>
      <c r="B965" s="544"/>
      <c r="C965" s="513"/>
      <c r="D965" s="545" t="str">
        <f>D964</f>
        <v>Parede de gesso acartonado para parede interna em local úmido, VERDE,  espessura final 125 mm, pé-direito conforme projeto arquitetonico - instalado conforme orinetações do fabricante.</v>
      </c>
      <c r="E965" s="514" t="s">
        <v>94</v>
      </c>
      <c r="F965" s="546">
        <v>1</v>
      </c>
      <c r="G965" s="547">
        <v>83.47</v>
      </c>
      <c r="H965" s="548">
        <f>F965*G965</f>
        <v>83.47</v>
      </c>
      <c r="I965" s="547"/>
      <c r="J965" s="549"/>
      <c r="K965" s="548"/>
      <c r="L965" s="547"/>
      <c r="M965" s="549"/>
      <c r="N965" s="550"/>
      <c r="O965" s="551"/>
    </row>
    <row r="966" spans="1:15" s="23" customFormat="1" ht="14.25" x14ac:dyDescent="0.2">
      <c r="A966" s="134"/>
      <c r="B966" s="129"/>
      <c r="C966" s="29"/>
      <c r="D966" s="117" t="s">
        <v>83</v>
      </c>
      <c r="E966" s="30"/>
      <c r="F966" s="118"/>
      <c r="G966" s="31"/>
      <c r="H966" s="104"/>
      <c r="I966" s="27"/>
      <c r="J966" s="105"/>
      <c r="K966" s="104"/>
      <c r="L966" s="27"/>
      <c r="M966" s="105"/>
      <c r="N966" s="94"/>
      <c r="O966" s="94"/>
    </row>
    <row r="967" spans="1:15" s="266" customFormat="1" ht="12.75" x14ac:dyDescent="0.2">
      <c r="A967" s="516"/>
      <c r="B967" s="517"/>
      <c r="C967" s="518" t="s">
        <v>436</v>
      </c>
      <c r="D967" s="519" t="s">
        <v>103</v>
      </c>
      <c r="E967" s="520"/>
      <c r="F967" s="519"/>
      <c r="G967" s="520"/>
      <c r="H967" s="521"/>
      <c r="I967" s="522"/>
      <c r="J967" s="523"/>
      <c r="K967" s="521"/>
      <c r="L967" s="522"/>
      <c r="M967" s="523"/>
      <c r="N967" s="524"/>
      <c r="O967" s="525">
        <f>SUM(O969:O988)</f>
        <v>492.48583200000002</v>
      </c>
    </row>
    <row r="968" spans="1:15" s="23" customFormat="1" ht="14.25" x14ac:dyDescent="0.2">
      <c r="A968" s="134"/>
      <c r="B968" s="129"/>
      <c r="C968" s="29"/>
      <c r="D968" s="117" t="s">
        <v>83</v>
      </c>
      <c r="E968" s="30"/>
      <c r="F968" s="118"/>
      <c r="G968" s="31"/>
      <c r="H968" s="104"/>
      <c r="I968" s="27"/>
      <c r="J968" s="105"/>
      <c r="K968" s="104"/>
      <c r="L968" s="27"/>
      <c r="M968" s="105"/>
      <c r="N968" s="92"/>
      <c r="O968" s="92"/>
    </row>
    <row r="969" spans="1:15" s="23" customFormat="1" ht="14.25" x14ac:dyDescent="0.2">
      <c r="A969" s="135"/>
      <c r="B969" s="120"/>
      <c r="C969" s="122"/>
      <c r="D969" s="124" t="s">
        <v>104</v>
      </c>
      <c r="E969" s="122"/>
      <c r="F969" s="90"/>
      <c r="G969" s="116"/>
      <c r="H969" s="102"/>
      <c r="I969" s="35"/>
      <c r="J969" s="103"/>
      <c r="K969" s="102"/>
      <c r="L969" s="35"/>
      <c r="M969" s="103"/>
      <c r="N969" s="90"/>
      <c r="O969" s="90"/>
    </row>
    <row r="970" spans="1:15" s="23" customFormat="1" ht="14.25" x14ac:dyDescent="0.2">
      <c r="A970" s="134"/>
      <c r="B970" s="129"/>
      <c r="C970" s="29"/>
      <c r="D970" s="117" t="s">
        <v>83</v>
      </c>
      <c r="E970" s="30"/>
      <c r="F970" s="118"/>
      <c r="G970" s="31"/>
      <c r="H970" s="104"/>
      <c r="I970" s="27"/>
      <c r="J970" s="105"/>
      <c r="K970" s="104"/>
      <c r="L970" s="27"/>
      <c r="M970" s="105"/>
      <c r="N970" s="92"/>
      <c r="O970" s="92"/>
    </row>
    <row r="971" spans="1:15" s="23" customFormat="1" ht="62.25" customHeight="1" x14ac:dyDescent="0.2">
      <c r="A971" s="223" t="s">
        <v>78</v>
      </c>
      <c r="B971" s="224" t="s">
        <v>771</v>
      </c>
      <c r="C971" s="225" t="s">
        <v>806</v>
      </c>
      <c r="D971" s="226" t="s">
        <v>772</v>
      </c>
      <c r="E971" s="225" t="s">
        <v>81</v>
      </c>
      <c r="F971" s="515">
        <v>1</v>
      </c>
      <c r="G971" s="228"/>
      <c r="H971" s="229">
        <f>ROUND(SUM(H972:H982),2)</f>
        <v>213.83</v>
      </c>
      <c r="I971" s="229">
        <f>ROUND(SUM(I972:I982),2)</f>
        <v>72.42</v>
      </c>
      <c r="J971" s="231">
        <f>(H971+I971)</f>
        <v>286.25</v>
      </c>
      <c r="K971" s="229">
        <f>F971*H971</f>
        <v>213.83</v>
      </c>
      <c r="L971" s="230">
        <f>F971*I971</f>
        <v>72.42</v>
      </c>
      <c r="M971" s="231">
        <f>K971+L971</f>
        <v>286.25</v>
      </c>
      <c r="N971" s="227">
        <f>M971*$N$7</f>
        <v>77.516499999999994</v>
      </c>
      <c r="O971" s="227">
        <f>M971+N971</f>
        <v>363.76650000000001</v>
      </c>
    </row>
    <row r="972" spans="1:15" s="552" customFormat="1" ht="15" customHeight="1" x14ac:dyDescent="0.25">
      <c r="A972" s="543"/>
      <c r="B972" s="544" t="s">
        <v>715</v>
      </c>
      <c r="C972" s="513">
        <v>1214</v>
      </c>
      <c r="D972" s="545" t="s">
        <v>713</v>
      </c>
      <c r="E972" s="514" t="s">
        <v>42</v>
      </c>
      <c r="F972" s="546">
        <v>2.0150000000000001</v>
      </c>
      <c r="G972" s="547">
        <v>12.39</v>
      </c>
      <c r="H972" s="548"/>
      <c r="I972" s="547">
        <f>F972*G972</f>
        <v>24.965850000000003</v>
      </c>
      <c r="J972" s="549"/>
      <c r="K972" s="548"/>
      <c r="L972" s="547"/>
      <c r="M972" s="549"/>
      <c r="N972" s="550"/>
      <c r="O972" s="551"/>
    </row>
    <row r="973" spans="1:15" s="552" customFormat="1" ht="15" customHeight="1" x14ac:dyDescent="0.25">
      <c r="A973" s="543"/>
      <c r="B973" s="544" t="s">
        <v>715</v>
      </c>
      <c r="C973" s="513">
        <v>4750</v>
      </c>
      <c r="D973" s="545" t="s">
        <v>714</v>
      </c>
      <c r="E973" s="514" t="s">
        <v>42</v>
      </c>
      <c r="F973" s="546">
        <v>1.3720000000000001</v>
      </c>
      <c r="G973" s="547">
        <v>12.57</v>
      </c>
      <c r="H973" s="548"/>
      <c r="I973" s="547">
        <f t="shared" ref="I973:I974" si="126">F973*G973</f>
        <v>17.246040000000001</v>
      </c>
      <c r="J973" s="549"/>
      <c r="K973" s="548"/>
      <c r="L973" s="547"/>
      <c r="M973" s="549"/>
      <c r="N973" s="550"/>
      <c r="O973" s="551"/>
    </row>
    <row r="974" spans="1:15" s="552" customFormat="1" ht="15" customHeight="1" x14ac:dyDescent="0.25">
      <c r="A974" s="543"/>
      <c r="B974" s="544" t="s">
        <v>658</v>
      </c>
      <c r="C974" s="513">
        <v>6111</v>
      </c>
      <c r="D974" s="545" t="s">
        <v>670</v>
      </c>
      <c r="E974" s="514" t="s">
        <v>42</v>
      </c>
      <c r="F974" s="546">
        <v>3.387</v>
      </c>
      <c r="G974" s="547">
        <v>8.92</v>
      </c>
      <c r="H974" s="548"/>
      <c r="I974" s="547">
        <f t="shared" si="126"/>
        <v>30.212039999999998</v>
      </c>
      <c r="J974" s="549"/>
      <c r="K974" s="548"/>
      <c r="L974" s="547"/>
      <c r="M974" s="549"/>
      <c r="N974" s="550"/>
      <c r="O974" s="551"/>
    </row>
    <row r="975" spans="1:15" s="552" customFormat="1" ht="15" customHeight="1" x14ac:dyDescent="0.25">
      <c r="A975" s="543"/>
      <c r="B975" s="544" t="s">
        <v>664</v>
      </c>
      <c r="C975" s="513">
        <v>88627</v>
      </c>
      <c r="D975" s="545" t="s">
        <v>706</v>
      </c>
      <c r="E975" s="514" t="s">
        <v>233</v>
      </c>
      <c r="F975" s="546">
        <v>9.7999999999999997E-3</v>
      </c>
      <c r="G975" s="547">
        <v>386.72</v>
      </c>
      <c r="H975" s="548">
        <f t="shared" ref="H975:H976" si="127">F975*G975</f>
        <v>3.7898560000000003</v>
      </c>
      <c r="I975" s="547"/>
      <c r="J975" s="549"/>
      <c r="K975" s="548"/>
      <c r="L975" s="547"/>
      <c r="M975" s="549"/>
      <c r="N975" s="550"/>
      <c r="O975" s="551"/>
    </row>
    <row r="976" spans="1:15" s="552" customFormat="1" ht="15" customHeight="1" x14ac:dyDescent="0.25">
      <c r="A976" s="543"/>
      <c r="B976" s="544" t="s">
        <v>657</v>
      </c>
      <c r="C976" s="513">
        <v>184</v>
      </c>
      <c r="D976" s="545" t="s">
        <v>707</v>
      </c>
      <c r="E976" s="514" t="s">
        <v>708</v>
      </c>
      <c r="F976" s="546">
        <v>1</v>
      </c>
      <c r="G976" s="547">
        <v>40.64</v>
      </c>
      <c r="H976" s="548">
        <f t="shared" si="127"/>
        <v>40.64</v>
      </c>
      <c r="I976" s="547"/>
      <c r="J976" s="549"/>
      <c r="K976" s="548"/>
      <c r="L976" s="547"/>
      <c r="M976" s="549"/>
      <c r="N976" s="550"/>
      <c r="O976" s="551"/>
    </row>
    <row r="977" spans="1:15" s="552" customFormat="1" ht="15" customHeight="1" x14ac:dyDescent="0.25">
      <c r="A977" s="543"/>
      <c r="B977" s="544" t="s">
        <v>658</v>
      </c>
      <c r="C977" s="513">
        <v>11447</v>
      </c>
      <c r="D977" s="545" t="s">
        <v>720</v>
      </c>
      <c r="E977" s="514" t="s">
        <v>41</v>
      </c>
      <c r="F977" s="546">
        <v>3</v>
      </c>
      <c r="G977" s="547">
        <v>17.34</v>
      </c>
      <c r="H977" s="548">
        <f>F977*G977</f>
        <v>52.019999999999996</v>
      </c>
      <c r="I977" s="547"/>
      <c r="J977" s="549"/>
      <c r="K977" s="548"/>
      <c r="L977" s="547"/>
      <c r="M977" s="549"/>
      <c r="N977" s="550"/>
      <c r="O977" s="551"/>
    </row>
    <row r="978" spans="1:15" s="552" customFormat="1" ht="15" customHeight="1" x14ac:dyDescent="0.25">
      <c r="A978" s="543"/>
      <c r="B978" s="544" t="s">
        <v>658</v>
      </c>
      <c r="C978" s="513">
        <v>4378</v>
      </c>
      <c r="D978" s="545" t="s">
        <v>709</v>
      </c>
      <c r="E978" s="514" t="s">
        <v>41</v>
      </c>
      <c r="F978" s="546">
        <v>6</v>
      </c>
      <c r="G978" s="547">
        <v>0.47</v>
      </c>
      <c r="H978" s="548">
        <f>F978*G978</f>
        <v>2.82</v>
      </c>
      <c r="I978" s="547"/>
      <c r="J978" s="549"/>
      <c r="K978" s="548"/>
      <c r="L978" s="547"/>
      <c r="M978" s="549"/>
      <c r="N978" s="550"/>
      <c r="O978" s="551"/>
    </row>
    <row r="979" spans="1:15" s="552" customFormat="1" ht="15" customHeight="1" x14ac:dyDescent="0.25">
      <c r="A979" s="543"/>
      <c r="B979" s="544" t="s">
        <v>658</v>
      </c>
      <c r="C979" s="513">
        <v>4419</v>
      </c>
      <c r="D979" s="545" t="s">
        <v>710</v>
      </c>
      <c r="E979" s="514" t="s">
        <v>41</v>
      </c>
      <c r="F979" s="546">
        <v>6</v>
      </c>
      <c r="G979" s="547">
        <v>0.66</v>
      </c>
      <c r="H979" s="548">
        <f>F979*G979</f>
        <v>3.96</v>
      </c>
      <c r="I979" s="547"/>
      <c r="J979" s="549"/>
      <c r="K979" s="548"/>
      <c r="L979" s="547"/>
      <c r="M979" s="549"/>
      <c r="N979" s="550"/>
      <c r="O979" s="551"/>
    </row>
    <row r="980" spans="1:15" s="552" customFormat="1" ht="15" customHeight="1" x14ac:dyDescent="0.25">
      <c r="A980" s="543"/>
      <c r="B980" s="544" t="s">
        <v>658</v>
      </c>
      <c r="C980" s="513">
        <v>10554</v>
      </c>
      <c r="D980" s="545" t="s">
        <v>773</v>
      </c>
      <c r="E980" s="514" t="s">
        <v>41</v>
      </c>
      <c r="F980" s="546">
        <v>1</v>
      </c>
      <c r="G980" s="547">
        <v>61.89</v>
      </c>
      <c r="H980" s="548">
        <f t="shared" ref="H980" si="128">F980*G980</f>
        <v>61.89</v>
      </c>
      <c r="I980" s="547"/>
      <c r="J980" s="549"/>
      <c r="K980" s="548"/>
      <c r="L980" s="547"/>
      <c r="M980" s="549"/>
      <c r="N980" s="550"/>
      <c r="O980" s="551"/>
    </row>
    <row r="981" spans="1:15" s="552" customFormat="1" ht="15" customHeight="1" x14ac:dyDescent="0.25">
      <c r="A981" s="543"/>
      <c r="B981" s="544" t="s">
        <v>657</v>
      </c>
      <c r="C981" s="513">
        <v>20006</v>
      </c>
      <c r="D981" s="545" t="s">
        <v>711</v>
      </c>
      <c r="E981" s="514" t="s">
        <v>56</v>
      </c>
      <c r="F981" s="546">
        <v>9.8000000000000007</v>
      </c>
      <c r="G981" s="547">
        <v>4.51</v>
      </c>
      <c r="H981" s="548">
        <f>F981*G981</f>
        <v>44.198</v>
      </c>
      <c r="I981" s="547"/>
      <c r="J981" s="549"/>
      <c r="K981" s="548"/>
      <c r="L981" s="547"/>
      <c r="M981" s="549"/>
      <c r="N981" s="550"/>
      <c r="O981" s="551"/>
    </row>
    <row r="982" spans="1:15" s="552" customFormat="1" ht="15" customHeight="1" x14ac:dyDescent="0.25">
      <c r="A982" s="543"/>
      <c r="B982" s="544" t="s">
        <v>658</v>
      </c>
      <c r="C982" s="513">
        <v>20247</v>
      </c>
      <c r="D982" s="545" t="s">
        <v>778</v>
      </c>
      <c r="E982" s="514" t="s">
        <v>48</v>
      </c>
      <c r="F982" s="546">
        <v>0.6</v>
      </c>
      <c r="G982" s="547">
        <v>7.52</v>
      </c>
      <c r="H982" s="548">
        <f>F982*G982</f>
        <v>4.5119999999999996</v>
      </c>
      <c r="I982" s="547"/>
      <c r="J982" s="549"/>
      <c r="K982" s="548"/>
      <c r="L982" s="547"/>
      <c r="M982" s="549"/>
      <c r="N982" s="550"/>
      <c r="O982" s="551"/>
    </row>
    <row r="983" spans="1:15" s="552" customFormat="1" ht="15" customHeight="1" x14ac:dyDescent="0.25">
      <c r="A983" s="543"/>
      <c r="B983" s="544"/>
      <c r="C983" s="513"/>
      <c r="D983" s="545"/>
      <c r="E983" s="514"/>
      <c r="F983" s="546"/>
      <c r="G983" s="547"/>
      <c r="H983" s="548"/>
      <c r="I983" s="547"/>
      <c r="J983" s="549"/>
      <c r="K983" s="548"/>
      <c r="L983" s="547"/>
      <c r="M983" s="549"/>
      <c r="N983" s="550"/>
      <c r="O983" s="551"/>
    </row>
    <row r="984" spans="1:15" s="23" customFormat="1" ht="33.75" x14ac:dyDescent="0.2">
      <c r="A984" s="223" t="s">
        <v>78</v>
      </c>
      <c r="B984" s="224" t="s">
        <v>716</v>
      </c>
      <c r="C984" s="225" t="s">
        <v>807</v>
      </c>
      <c r="D984" s="226" t="s">
        <v>1079</v>
      </c>
      <c r="E984" s="225" t="s">
        <v>81</v>
      </c>
      <c r="F984" s="515">
        <v>1</v>
      </c>
      <c r="G984" s="228"/>
      <c r="H984" s="229">
        <f>ROUND(SUM(H985:H987),2)</f>
        <v>72.900000000000006</v>
      </c>
      <c r="I984" s="229">
        <f>ROUND(SUM(I985:I987),2)</f>
        <v>28.39</v>
      </c>
      <c r="J984" s="231">
        <f>(H984+I984)</f>
        <v>101.29</v>
      </c>
      <c r="K984" s="229">
        <f>F984*H984</f>
        <v>72.900000000000006</v>
      </c>
      <c r="L984" s="230">
        <f>F984*I984</f>
        <v>28.39</v>
      </c>
      <c r="M984" s="231">
        <f>K984+L984</f>
        <v>101.29</v>
      </c>
      <c r="N984" s="227">
        <f>M984*$N$7</f>
        <v>27.429331999999999</v>
      </c>
      <c r="O984" s="227">
        <f>M984+N984</f>
        <v>128.71933200000001</v>
      </c>
    </row>
    <row r="985" spans="1:15" s="552" customFormat="1" ht="15" customHeight="1" x14ac:dyDescent="0.25">
      <c r="A985" s="543"/>
      <c r="B985" s="544" t="s">
        <v>658</v>
      </c>
      <c r="C985" s="513">
        <v>6117</v>
      </c>
      <c r="D985" s="545" t="s">
        <v>682</v>
      </c>
      <c r="E985" s="514" t="s">
        <v>42</v>
      </c>
      <c r="F985" s="546">
        <v>1.3</v>
      </c>
      <c r="G985" s="547">
        <v>9.4499999999999993</v>
      </c>
      <c r="H985" s="548"/>
      <c r="I985" s="547">
        <f t="shared" ref="I985" si="129">F985*G985</f>
        <v>12.285</v>
      </c>
      <c r="J985" s="549"/>
      <c r="K985" s="548"/>
      <c r="L985" s="547"/>
      <c r="M985" s="549"/>
      <c r="N985" s="550"/>
      <c r="O985" s="551"/>
    </row>
    <row r="986" spans="1:15" s="552" customFormat="1" ht="15" customHeight="1" x14ac:dyDescent="0.25">
      <c r="A986" s="543"/>
      <c r="B986" s="544" t="s">
        <v>715</v>
      </c>
      <c r="C986" s="513">
        <v>1214</v>
      </c>
      <c r="D986" s="545" t="s">
        <v>713</v>
      </c>
      <c r="E986" s="514" t="s">
        <v>42</v>
      </c>
      <c r="F986" s="546">
        <v>1.3</v>
      </c>
      <c r="G986" s="547">
        <v>12.39</v>
      </c>
      <c r="H986" s="548"/>
      <c r="I986" s="547">
        <f>F986*G986</f>
        <v>16.107000000000003</v>
      </c>
      <c r="J986" s="549"/>
      <c r="K986" s="548"/>
      <c r="L986" s="547"/>
      <c r="M986" s="549"/>
      <c r="N986" s="550"/>
      <c r="O986" s="551"/>
    </row>
    <row r="987" spans="1:15" s="552" customFormat="1" ht="15" customHeight="1" x14ac:dyDescent="0.25">
      <c r="A987" s="543"/>
      <c r="B987" s="544"/>
      <c r="C987" s="513" t="s">
        <v>80</v>
      </c>
      <c r="D987" s="545" t="s">
        <v>717</v>
      </c>
      <c r="E987" s="514" t="s">
        <v>41</v>
      </c>
      <c r="F987" s="546">
        <v>1</v>
      </c>
      <c r="G987" s="547">
        <v>72.900000000000006</v>
      </c>
      <c r="H987" s="548">
        <f t="shared" ref="H987" si="130">F987*G987</f>
        <v>72.900000000000006</v>
      </c>
      <c r="I987" s="547"/>
      <c r="J987" s="549"/>
      <c r="K987" s="548"/>
      <c r="L987" s="547"/>
      <c r="M987" s="549"/>
      <c r="N987" s="550"/>
      <c r="O987" s="551"/>
    </row>
    <row r="988" spans="1:15" s="552" customFormat="1" ht="15" customHeight="1" x14ac:dyDescent="0.25">
      <c r="A988" s="543"/>
      <c r="B988" s="544"/>
      <c r="C988" s="513"/>
      <c r="D988" s="545"/>
      <c r="E988" s="514"/>
      <c r="F988" s="546"/>
      <c r="G988" s="547"/>
      <c r="H988" s="548"/>
      <c r="I988" s="547"/>
      <c r="J988" s="549"/>
      <c r="K988" s="548"/>
      <c r="L988" s="547"/>
      <c r="M988" s="549"/>
      <c r="N988" s="550"/>
      <c r="O988" s="551"/>
    </row>
    <row r="989" spans="1:15" s="266" customFormat="1" ht="12.75" x14ac:dyDescent="0.2">
      <c r="A989" s="516"/>
      <c r="B989" s="517"/>
      <c r="C989" s="518" t="s">
        <v>443</v>
      </c>
      <c r="D989" s="519" t="s">
        <v>511</v>
      </c>
      <c r="E989" s="520"/>
      <c r="F989" s="519"/>
      <c r="G989" s="520"/>
      <c r="H989" s="521"/>
      <c r="I989" s="522"/>
      <c r="J989" s="523"/>
      <c r="K989" s="521"/>
      <c r="L989" s="522"/>
      <c r="M989" s="523"/>
      <c r="N989" s="524"/>
      <c r="O989" s="525">
        <f>SUM(O991:O1013)</f>
        <v>4886.9757719999998</v>
      </c>
    </row>
    <row r="990" spans="1:15" s="23" customFormat="1" ht="14.25" x14ac:dyDescent="0.2">
      <c r="A990" s="134"/>
      <c r="B990" s="129"/>
      <c r="C990" s="29"/>
      <c r="D990" s="117" t="s">
        <v>83</v>
      </c>
      <c r="E990" s="30"/>
      <c r="F990" s="118"/>
      <c r="G990" s="31"/>
      <c r="H990" s="104"/>
      <c r="I990" s="27"/>
      <c r="J990" s="105"/>
      <c r="K990" s="104"/>
      <c r="L990" s="27"/>
      <c r="M990" s="105"/>
      <c r="N990" s="92"/>
      <c r="O990" s="92"/>
    </row>
    <row r="991" spans="1:15" s="23" customFormat="1" ht="22.5" x14ac:dyDescent="0.2">
      <c r="A991" s="223" t="s">
        <v>78</v>
      </c>
      <c r="B991" s="224">
        <v>72185</v>
      </c>
      <c r="C991" s="225" t="s">
        <v>444</v>
      </c>
      <c r="D991" s="232" t="s">
        <v>1151</v>
      </c>
      <c r="E991" s="225" t="s">
        <v>94</v>
      </c>
      <c r="F991" s="515">
        <v>13</v>
      </c>
      <c r="G991" s="228"/>
      <c r="H991" s="229">
        <f>ROUND(SUM(H992:H997),2)</f>
        <v>106.75</v>
      </c>
      <c r="I991" s="230">
        <f>ROUND(SUM(I992:I997),2)</f>
        <v>3.65</v>
      </c>
      <c r="J991" s="231">
        <f>(H991+I991)</f>
        <v>110.4</v>
      </c>
      <c r="K991" s="229">
        <f>F991*H991</f>
        <v>1387.75</v>
      </c>
      <c r="L991" s="230">
        <f>F991*I991</f>
        <v>47.449999999999996</v>
      </c>
      <c r="M991" s="231">
        <f>K991+L991</f>
        <v>1435.2</v>
      </c>
      <c r="N991" s="227">
        <f>M991*$N$7</f>
        <v>388.65215999999998</v>
      </c>
      <c r="O991" s="227">
        <f>M991+N991</f>
        <v>1823.8521599999999</v>
      </c>
    </row>
    <row r="992" spans="1:15" s="552" customFormat="1" ht="15" customHeight="1" x14ac:dyDescent="0.25">
      <c r="A992" s="543"/>
      <c r="B992" s="544" t="s">
        <v>715</v>
      </c>
      <c r="C992" s="513">
        <v>4750</v>
      </c>
      <c r="D992" s="545" t="s">
        <v>1149</v>
      </c>
      <c r="E992" s="514" t="s">
        <v>42</v>
      </c>
      <c r="F992" s="546">
        <v>0.17</v>
      </c>
      <c r="G992" s="547">
        <v>12.57</v>
      </c>
      <c r="H992" s="548"/>
      <c r="I992" s="547">
        <f>F992*G992</f>
        <v>2.1369000000000002</v>
      </c>
      <c r="J992" s="549"/>
      <c r="K992" s="548"/>
      <c r="L992" s="547"/>
      <c r="M992" s="549"/>
      <c r="N992" s="550"/>
      <c r="O992" s="551"/>
    </row>
    <row r="993" spans="1:15" s="552" customFormat="1" ht="15" customHeight="1" x14ac:dyDescent="0.25">
      <c r="A993" s="543"/>
      <c r="B993" s="544" t="s">
        <v>715</v>
      </c>
      <c r="C993" s="513">
        <v>6111</v>
      </c>
      <c r="D993" s="545" t="s">
        <v>670</v>
      </c>
      <c r="E993" s="514" t="s">
        <v>42</v>
      </c>
      <c r="F993" s="546">
        <v>0.17</v>
      </c>
      <c r="G993" s="547">
        <v>8.92</v>
      </c>
      <c r="H993" s="548"/>
      <c r="I993" s="547">
        <f t="shared" ref="I993" si="131">F993*G993</f>
        <v>1.5164000000000002</v>
      </c>
      <c r="J993" s="549"/>
      <c r="K993" s="548"/>
      <c r="L993" s="547"/>
      <c r="M993" s="549"/>
      <c r="N993" s="550"/>
      <c r="O993" s="551"/>
    </row>
    <row r="994" spans="1:15" s="552" customFormat="1" ht="15" customHeight="1" x14ac:dyDescent="0.25">
      <c r="A994" s="543"/>
      <c r="B994" s="544" t="s">
        <v>715</v>
      </c>
      <c r="C994" s="513">
        <v>4790</v>
      </c>
      <c r="D994" s="545" t="s">
        <v>1147</v>
      </c>
      <c r="E994" s="514" t="s">
        <v>58</v>
      </c>
      <c r="F994" s="546">
        <v>1.05</v>
      </c>
      <c r="G994" s="547">
        <v>55.7</v>
      </c>
      <c r="H994" s="548">
        <f>F994*G994</f>
        <v>58.485000000000007</v>
      </c>
      <c r="I994" s="547"/>
      <c r="J994" s="549"/>
      <c r="K994" s="548"/>
      <c r="L994" s="547"/>
      <c r="M994" s="549"/>
      <c r="N994" s="550"/>
      <c r="O994" s="551"/>
    </row>
    <row r="995" spans="1:15" s="552" customFormat="1" ht="15" customHeight="1" x14ac:dyDescent="0.25">
      <c r="A995" s="543"/>
      <c r="B995" s="544" t="s">
        <v>715</v>
      </c>
      <c r="C995" s="513">
        <v>4791</v>
      </c>
      <c r="D995" s="545" t="s">
        <v>1148</v>
      </c>
      <c r="E995" s="514" t="s">
        <v>48</v>
      </c>
      <c r="F995" s="546">
        <v>0.14000000000000001</v>
      </c>
      <c r="G995" s="547">
        <v>30.67</v>
      </c>
      <c r="H995" s="548">
        <f t="shared" ref="H995:H996" si="132">F995*G995</f>
        <v>4.2938000000000009</v>
      </c>
      <c r="I995" s="547"/>
      <c r="J995" s="549"/>
      <c r="K995" s="548"/>
      <c r="L995" s="547"/>
      <c r="M995" s="549"/>
      <c r="N995" s="550"/>
      <c r="O995" s="551"/>
    </row>
    <row r="996" spans="1:15" s="552" customFormat="1" ht="15" customHeight="1" x14ac:dyDescent="0.25">
      <c r="A996" s="543"/>
      <c r="B996" s="544"/>
      <c r="C996" s="513">
        <v>11137</v>
      </c>
      <c r="D996" s="545" t="s">
        <v>1150</v>
      </c>
      <c r="E996" s="514" t="s">
        <v>58</v>
      </c>
      <c r="F996" s="546">
        <v>1.05</v>
      </c>
      <c r="G996" s="547">
        <v>41.88</v>
      </c>
      <c r="H996" s="548">
        <f t="shared" si="132"/>
        <v>43.974000000000004</v>
      </c>
      <c r="I996" s="547"/>
      <c r="J996" s="549"/>
      <c r="K996" s="548"/>
      <c r="L996" s="547"/>
      <c r="M996" s="549"/>
      <c r="N996" s="550"/>
      <c r="O996" s="551"/>
    </row>
    <row r="997" spans="1:15" s="552" customFormat="1" ht="15" customHeight="1" x14ac:dyDescent="0.25">
      <c r="A997" s="543"/>
      <c r="B997" s="544"/>
      <c r="C997" s="513"/>
      <c r="D997" s="545"/>
      <c r="E997" s="514"/>
      <c r="F997" s="546"/>
      <c r="G997" s="547"/>
      <c r="H997" s="548"/>
      <c r="I997" s="547"/>
      <c r="J997" s="549"/>
      <c r="K997" s="548"/>
      <c r="L997" s="547"/>
      <c r="M997" s="549"/>
      <c r="N997" s="550"/>
      <c r="O997" s="551"/>
    </row>
    <row r="998" spans="1:15" s="23" customFormat="1" ht="33.75" x14ac:dyDescent="0.2">
      <c r="A998" s="223"/>
      <c r="B998" s="224" t="s">
        <v>1146</v>
      </c>
      <c r="C998" s="225" t="s">
        <v>445</v>
      </c>
      <c r="D998" s="226" t="s">
        <v>456</v>
      </c>
      <c r="E998" s="225" t="s">
        <v>27</v>
      </c>
      <c r="F998" s="515">
        <v>14.3</v>
      </c>
      <c r="G998" s="228"/>
      <c r="H998" s="229">
        <v>106</v>
      </c>
      <c r="I998" s="230">
        <v>19.7</v>
      </c>
      <c r="J998" s="231">
        <f>(H998+I998)</f>
        <v>125.7</v>
      </c>
      <c r="K998" s="229">
        <f>F998*H998</f>
        <v>1515.8000000000002</v>
      </c>
      <c r="L998" s="230">
        <f>F998*I998</f>
        <v>281.70999999999998</v>
      </c>
      <c r="M998" s="231">
        <f>K998+L998</f>
        <v>1797.5100000000002</v>
      </c>
      <c r="N998" s="227">
        <f>M998*$N$7</f>
        <v>486.76570800000002</v>
      </c>
      <c r="O998" s="227">
        <f>M998+N998</f>
        <v>2284.2757080000001</v>
      </c>
    </row>
    <row r="999" spans="1:15" s="23" customFormat="1" ht="14.25" x14ac:dyDescent="0.2">
      <c r="A999" s="134"/>
      <c r="B999" s="129"/>
      <c r="C999" s="29"/>
      <c r="D999" s="117" t="s">
        <v>83</v>
      </c>
      <c r="E999" s="30"/>
      <c r="F999" s="118"/>
      <c r="G999" s="31"/>
      <c r="H999" s="110"/>
      <c r="I999" s="31"/>
      <c r="J999" s="111"/>
      <c r="K999" s="110"/>
      <c r="L999" s="31"/>
      <c r="M999" s="111"/>
      <c r="N999" s="94"/>
      <c r="O999" s="94"/>
    </row>
    <row r="1000" spans="1:15" s="23" customFormat="1" ht="33.75" x14ac:dyDescent="0.2">
      <c r="A1000" s="223" t="s">
        <v>79</v>
      </c>
      <c r="B1000" s="224" t="s">
        <v>235</v>
      </c>
      <c r="C1000" s="225" t="s">
        <v>446</v>
      </c>
      <c r="D1000" s="226" t="s">
        <v>197</v>
      </c>
      <c r="E1000" s="225" t="s">
        <v>98</v>
      </c>
      <c r="F1000" s="515">
        <v>20</v>
      </c>
      <c r="G1000" s="228"/>
      <c r="H1000" s="229">
        <f>ROUND(SUM(H1001:H1002),2)</f>
        <v>11.94</v>
      </c>
      <c r="I1000" s="230">
        <f>ROUND(SUM(I1001:I1002),2)</f>
        <v>2.48</v>
      </c>
      <c r="J1000" s="231">
        <f>(H1000+I1000)</f>
        <v>14.42</v>
      </c>
      <c r="K1000" s="229">
        <f>F1000*H1000</f>
        <v>238.79999999999998</v>
      </c>
      <c r="L1000" s="230">
        <f>F1000*I1000</f>
        <v>49.6</v>
      </c>
      <c r="M1000" s="231">
        <f>K1000+L1000</f>
        <v>288.39999999999998</v>
      </c>
      <c r="N1000" s="227">
        <f>M1000*$N$7</f>
        <v>78.098719999999986</v>
      </c>
      <c r="O1000" s="227">
        <f>M1000+N1000</f>
        <v>366.49871999999993</v>
      </c>
    </row>
    <row r="1001" spans="1:15" s="552" customFormat="1" ht="15" customHeight="1" x14ac:dyDescent="0.25">
      <c r="A1001" s="543"/>
      <c r="B1001" s="544" t="s">
        <v>715</v>
      </c>
      <c r="C1001" s="513">
        <v>1214</v>
      </c>
      <c r="D1001" s="545" t="s">
        <v>713</v>
      </c>
      <c r="E1001" s="514" t="s">
        <v>42</v>
      </c>
      <c r="F1001" s="546">
        <v>0.2</v>
      </c>
      <c r="G1001" s="547">
        <v>12.39</v>
      </c>
      <c r="H1001" s="548"/>
      <c r="I1001" s="547">
        <f>F1001*G1001</f>
        <v>2.4780000000000002</v>
      </c>
      <c r="J1001" s="549"/>
      <c r="K1001" s="548"/>
      <c r="L1001" s="547"/>
      <c r="M1001" s="549"/>
      <c r="N1001" s="550"/>
      <c r="O1001" s="551"/>
    </row>
    <row r="1002" spans="1:15" s="552" customFormat="1" ht="15" customHeight="1" x14ac:dyDescent="0.25">
      <c r="A1002" s="543"/>
      <c r="B1002" s="544"/>
      <c r="C1002" s="513"/>
      <c r="D1002" s="545" t="s">
        <v>8</v>
      </c>
      <c r="E1002" s="514" t="s">
        <v>98</v>
      </c>
      <c r="F1002" s="546">
        <v>1.1499999999999999</v>
      </c>
      <c r="G1002" s="547">
        <v>10.38</v>
      </c>
      <c r="H1002" s="548">
        <f>F1002*G1002</f>
        <v>11.936999999999999</v>
      </c>
      <c r="I1002" s="547"/>
      <c r="J1002" s="549"/>
      <c r="K1002" s="548"/>
      <c r="L1002" s="547"/>
      <c r="M1002" s="549"/>
      <c r="N1002" s="550"/>
      <c r="O1002" s="551"/>
    </row>
    <row r="1003" spans="1:15" s="23" customFormat="1" ht="14.25" x14ac:dyDescent="0.2">
      <c r="A1003" s="134"/>
      <c r="B1003" s="129"/>
      <c r="C1003" s="29"/>
      <c r="D1003" s="117" t="s">
        <v>83</v>
      </c>
      <c r="E1003" s="30"/>
      <c r="F1003" s="118"/>
      <c r="G1003" s="31"/>
      <c r="H1003" s="110"/>
      <c r="I1003" s="31"/>
      <c r="J1003" s="111"/>
      <c r="K1003" s="110"/>
      <c r="L1003" s="31"/>
      <c r="M1003" s="111"/>
      <c r="N1003" s="94"/>
      <c r="O1003" s="94"/>
    </row>
    <row r="1004" spans="1:15" s="23" customFormat="1" ht="33.75" x14ac:dyDescent="0.2">
      <c r="A1004" s="223" t="s">
        <v>78</v>
      </c>
      <c r="B1004" s="224">
        <v>87272</v>
      </c>
      <c r="C1004" s="225" t="s">
        <v>546</v>
      </c>
      <c r="D1004" s="226" t="s">
        <v>484</v>
      </c>
      <c r="E1004" s="225" t="s">
        <v>94</v>
      </c>
      <c r="F1004" s="515">
        <v>2</v>
      </c>
      <c r="G1004" s="228"/>
      <c r="H1004" s="229">
        <f>ROUND(SUM(H1005:H1009),2)</f>
        <v>25.09</v>
      </c>
      <c r="I1004" s="230">
        <f>ROUND(SUM(I1005:I1009),2)</f>
        <v>15.37</v>
      </c>
      <c r="J1004" s="231">
        <f>(H1004+I1004)</f>
        <v>40.46</v>
      </c>
      <c r="K1004" s="229">
        <f>F1004*H1004</f>
        <v>50.18</v>
      </c>
      <c r="L1004" s="230">
        <f>F1004*I1004</f>
        <v>30.74</v>
      </c>
      <c r="M1004" s="231">
        <f>K1004+L1004</f>
        <v>80.92</v>
      </c>
      <c r="N1004" s="227">
        <f>M1004*$N$7</f>
        <v>21.913135999999998</v>
      </c>
      <c r="O1004" s="227">
        <f>M1004+N1004</f>
        <v>102.833136</v>
      </c>
    </row>
    <row r="1005" spans="1:15" s="552" customFormat="1" ht="15" customHeight="1" x14ac:dyDescent="0.25">
      <c r="A1005" s="543"/>
      <c r="B1005" s="544" t="s">
        <v>715</v>
      </c>
      <c r="C1005" s="513">
        <v>4760</v>
      </c>
      <c r="D1005" s="545" t="s">
        <v>727</v>
      </c>
      <c r="E1005" s="514" t="s">
        <v>42</v>
      </c>
      <c r="F1005" s="546">
        <v>0.97</v>
      </c>
      <c r="G1005" s="547">
        <v>11.43</v>
      </c>
      <c r="H1005" s="548"/>
      <c r="I1005" s="547">
        <f>F1005*G1005</f>
        <v>11.0871</v>
      </c>
      <c r="J1005" s="549"/>
      <c r="K1005" s="548"/>
      <c r="L1005" s="547"/>
      <c r="M1005" s="549"/>
      <c r="N1005" s="550"/>
      <c r="O1005" s="551"/>
    </row>
    <row r="1006" spans="1:15" s="552" customFormat="1" ht="15" customHeight="1" x14ac:dyDescent="0.25">
      <c r="A1006" s="543"/>
      <c r="B1006" s="544" t="s">
        <v>658</v>
      </c>
      <c r="C1006" s="513">
        <v>6111</v>
      </c>
      <c r="D1006" s="545" t="s">
        <v>670</v>
      </c>
      <c r="E1006" s="514" t="s">
        <v>42</v>
      </c>
      <c r="F1006" s="546">
        <v>0.48</v>
      </c>
      <c r="G1006" s="547">
        <v>8.92</v>
      </c>
      <c r="H1006" s="548"/>
      <c r="I1006" s="547">
        <f t="shared" ref="I1006" si="133">F1006*G1006</f>
        <v>4.2816000000000001</v>
      </c>
      <c r="J1006" s="549"/>
      <c r="K1006" s="548"/>
      <c r="L1006" s="547"/>
      <c r="M1006" s="549"/>
      <c r="N1006" s="550"/>
      <c r="O1006" s="551"/>
    </row>
    <row r="1007" spans="1:15" s="552" customFormat="1" ht="21" customHeight="1" x14ac:dyDescent="0.25">
      <c r="A1007" s="543"/>
      <c r="B1007" s="544" t="s">
        <v>657</v>
      </c>
      <c r="C1007" s="513">
        <v>536</v>
      </c>
      <c r="D1007" s="545" t="str">
        <f>D1004</f>
        <v>Revestimento em azulejo 33 x 45 cm - referência técnica: ELIANE ou similar, linha Forma cor branco brilhante - fixado com argamassa colante e rejuntamento com rejunte flexível branco antifungo.</v>
      </c>
      <c r="E1007" s="514" t="s">
        <v>27</v>
      </c>
      <c r="F1007" s="546">
        <v>1.08</v>
      </c>
      <c r="G1007" s="547">
        <v>20.3</v>
      </c>
      <c r="H1007" s="548">
        <f t="shared" ref="H1007" si="134">F1007*G1007</f>
        <v>21.924000000000003</v>
      </c>
      <c r="I1007" s="547"/>
      <c r="J1007" s="549"/>
      <c r="K1007" s="548"/>
      <c r="L1007" s="547"/>
      <c r="M1007" s="549"/>
      <c r="N1007" s="550"/>
      <c r="O1007" s="551"/>
    </row>
    <row r="1008" spans="1:15" s="552" customFormat="1" ht="15" customHeight="1" x14ac:dyDescent="0.25">
      <c r="A1008" s="543"/>
      <c r="B1008" s="544" t="s">
        <v>658</v>
      </c>
      <c r="C1008" s="513">
        <v>1381</v>
      </c>
      <c r="D1008" s="545" t="s">
        <v>774</v>
      </c>
      <c r="E1008" s="514" t="s">
        <v>41</v>
      </c>
      <c r="F1008" s="546">
        <v>6.14</v>
      </c>
      <c r="G1008" s="547">
        <v>0.42</v>
      </c>
      <c r="H1008" s="548">
        <f>F1008*G1008</f>
        <v>2.5787999999999998</v>
      </c>
      <c r="I1008" s="547"/>
      <c r="J1008" s="549"/>
      <c r="K1008" s="548"/>
      <c r="L1008" s="547"/>
      <c r="M1008" s="549"/>
      <c r="N1008" s="550"/>
      <c r="O1008" s="551"/>
    </row>
    <row r="1009" spans="1:15" s="552" customFormat="1" ht="15" customHeight="1" x14ac:dyDescent="0.25">
      <c r="A1009" s="543"/>
      <c r="B1009" s="544" t="s">
        <v>658</v>
      </c>
      <c r="C1009" s="513">
        <v>34357</v>
      </c>
      <c r="D1009" s="545" t="s">
        <v>728</v>
      </c>
      <c r="E1009" s="514" t="s">
        <v>97</v>
      </c>
      <c r="F1009" s="546">
        <v>0.22</v>
      </c>
      <c r="G1009" s="547">
        <v>2.69</v>
      </c>
      <c r="H1009" s="548">
        <f>F1009*G1009</f>
        <v>0.59179999999999999</v>
      </c>
      <c r="I1009" s="547"/>
      <c r="J1009" s="549"/>
      <c r="K1009" s="548"/>
      <c r="L1009" s="547"/>
      <c r="M1009" s="549"/>
      <c r="N1009" s="550"/>
      <c r="O1009" s="551"/>
    </row>
    <row r="1010" spans="1:15" s="552" customFormat="1" ht="15" customHeight="1" x14ac:dyDescent="0.25">
      <c r="A1010" s="543"/>
      <c r="B1010" s="544"/>
      <c r="C1010" s="513"/>
      <c r="D1010" s="545"/>
      <c r="E1010" s="514"/>
      <c r="F1010" s="546"/>
      <c r="G1010" s="547"/>
      <c r="H1010" s="548"/>
      <c r="I1010" s="547"/>
      <c r="J1010" s="549"/>
      <c r="K1010" s="548"/>
      <c r="L1010" s="547"/>
      <c r="M1010" s="549"/>
      <c r="N1010" s="550"/>
      <c r="O1010" s="551"/>
    </row>
    <row r="1011" spans="1:15" s="25" customFormat="1" x14ac:dyDescent="0.2">
      <c r="A1011" s="134"/>
      <c r="B1011" s="129"/>
      <c r="C1011" s="29"/>
      <c r="D1011" s="117" t="s">
        <v>83</v>
      </c>
      <c r="E1011" s="30"/>
      <c r="F1011" s="476"/>
      <c r="G1011" s="477"/>
      <c r="H1011" s="478"/>
      <c r="I1011" s="479"/>
      <c r="J1011" s="480"/>
      <c r="K1011" s="478"/>
      <c r="L1011" s="479"/>
      <c r="M1011" s="480"/>
      <c r="N1011" s="92"/>
      <c r="O1011" s="92"/>
    </row>
    <row r="1012" spans="1:15" s="23" customFormat="1" ht="22.5" x14ac:dyDescent="0.2">
      <c r="A1012" s="223" t="s">
        <v>78</v>
      </c>
      <c r="B1012" s="224" t="s">
        <v>442</v>
      </c>
      <c r="C1012" s="225" t="s">
        <v>547</v>
      </c>
      <c r="D1012" s="226" t="s">
        <v>1080</v>
      </c>
      <c r="E1012" s="225" t="s">
        <v>27</v>
      </c>
      <c r="F1012" s="515">
        <v>4</v>
      </c>
      <c r="G1012" s="228"/>
      <c r="H1012" s="229">
        <v>60.89</v>
      </c>
      <c r="I1012" s="230">
        <v>0</v>
      </c>
      <c r="J1012" s="231">
        <f>(H1012+I1012)</f>
        <v>60.89</v>
      </c>
      <c r="K1012" s="229">
        <f>F1012*H1012</f>
        <v>243.56</v>
      </c>
      <c r="L1012" s="230">
        <f>F1012*I1012</f>
        <v>0</v>
      </c>
      <c r="M1012" s="231">
        <f>K1012+L1012</f>
        <v>243.56</v>
      </c>
      <c r="N1012" s="227">
        <f>M1012*$N$7</f>
        <v>65.956047999999996</v>
      </c>
      <c r="O1012" s="227">
        <f>M1012+N1012</f>
        <v>309.51604800000001</v>
      </c>
    </row>
    <row r="1013" spans="1:15" s="23" customFormat="1" ht="14.25" x14ac:dyDescent="0.2">
      <c r="A1013" s="134"/>
      <c r="B1013" s="129"/>
      <c r="C1013" s="29"/>
      <c r="D1013" s="117" t="s">
        <v>83</v>
      </c>
      <c r="E1013" s="30"/>
      <c r="F1013" s="118"/>
      <c r="G1013" s="31"/>
      <c r="H1013" s="110"/>
      <c r="I1013" s="31"/>
      <c r="J1013" s="111"/>
      <c r="K1013" s="110"/>
      <c r="L1013" s="31"/>
      <c r="M1013" s="111"/>
      <c r="N1013" s="94"/>
      <c r="O1013" s="94"/>
    </row>
    <row r="1014" spans="1:15" s="266" customFormat="1" ht="12.75" x14ac:dyDescent="0.2">
      <c r="A1014" s="516"/>
      <c r="B1014" s="517"/>
      <c r="C1014" s="518" t="s">
        <v>447</v>
      </c>
      <c r="D1014" s="519" t="s">
        <v>85</v>
      </c>
      <c r="E1014" s="520"/>
      <c r="F1014" s="519"/>
      <c r="G1014" s="520"/>
      <c r="H1014" s="521"/>
      <c r="I1014" s="522"/>
      <c r="J1014" s="523"/>
      <c r="K1014" s="521"/>
      <c r="L1014" s="522"/>
      <c r="M1014" s="523"/>
      <c r="N1014" s="524"/>
      <c r="O1014" s="525">
        <f>SUM(O1016:O1057)</f>
        <v>722.0304359999999</v>
      </c>
    </row>
    <row r="1015" spans="1:15" s="23" customFormat="1" ht="14.25" x14ac:dyDescent="0.2">
      <c r="A1015" s="134"/>
      <c r="B1015" s="130"/>
      <c r="C1015" s="34"/>
      <c r="D1015" s="117" t="s">
        <v>83</v>
      </c>
      <c r="E1015" s="30"/>
      <c r="F1015" s="30"/>
      <c r="G1015" s="31"/>
      <c r="H1015" s="104"/>
      <c r="I1015" s="27"/>
      <c r="J1015" s="105"/>
      <c r="K1015" s="31"/>
      <c r="L1015" s="31"/>
      <c r="M1015" s="111"/>
      <c r="N1015" s="92"/>
      <c r="O1015" s="92"/>
    </row>
    <row r="1016" spans="1:15" s="172" customFormat="1" ht="11.25" x14ac:dyDescent="0.2">
      <c r="A1016" s="170"/>
      <c r="B1016" s="120"/>
      <c r="C1016" s="122"/>
      <c r="D1016" s="124" t="s">
        <v>147</v>
      </c>
      <c r="E1016" s="122"/>
      <c r="F1016" s="90"/>
      <c r="G1016" s="116"/>
      <c r="H1016" s="102"/>
      <c r="I1016" s="35"/>
      <c r="J1016" s="103"/>
      <c r="K1016" s="102"/>
      <c r="L1016" s="35"/>
      <c r="M1016" s="103"/>
      <c r="N1016" s="90"/>
      <c r="O1016" s="171"/>
    </row>
    <row r="1017" spans="1:15" s="172" customFormat="1" ht="11.25" x14ac:dyDescent="0.2">
      <c r="A1017" s="170"/>
      <c r="B1017" s="120"/>
      <c r="C1017" s="122"/>
      <c r="D1017" s="124"/>
      <c r="E1017" s="122"/>
      <c r="F1017" s="90"/>
      <c r="G1017" s="116"/>
      <c r="H1017" s="102"/>
      <c r="I1017" s="141"/>
      <c r="J1017" s="103"/>
      <c r="K1017" s="102"/>
      <c r="L1017" s="35"/>
      <c r="M1017" s="103"/>
      <c r="N1017" s="90"/>
      <c r="O1017" s="171"/>
    </row>
    <row r="1018" spans="1:15" s="23" customFormat="1" ht="14.25" x14ac:dyDescent="0.2">
      <c r="A1018" s="223" t="s">
        <v>39</v>
      </c>
      <c r="B1018" s="224" t="s">
        <v>148</v>
      </c>
      <c r="C1018" s="225" t="s">
        <v>808</v>
      </c>
      <c r="D1018" s="226" t="s">
        <v>198</v>
      </c>
      <c r="E1018" s="225" t="s">
        <v>41</v>
      </c>
      <c r="F1018" s="515">
        <v>1</v>
      </c>
      <c r="G1018" s="228"/>
      <c r="H1018" s="229">
        <f>ROUND(SUM(H1019:H1024),2)</f>
        <v>29.91</v>
      </c>
      <c r="I1018" s="230">
        <f>ROUND(SUM(I1019:I1024),2)</f>
        <v>66.06</v>
      </c>
      <c r="J1018" s="231">
        <f>(H1018+I1018)</f>
        <v>95.97</v>
      </c>
      <c r="K1018" s="229">
        <f>F1018*H1018</f>
        <v>29.91</v>
      </c>
      <c r="L1018" s="230">
        <f>F1018*I1018</f>
        <v>66.06</v>
      </c>
      <c r="M1018" s="231">
        <f>K1018+L1018</f>
        <v>95.97</v>
      </c>
      <c r="N1018" s="227">
        <f>M1018*$N$7</f>
        <v>25.988675999999998</v>
      </c>
      <c r="O1018" s="227">
        <f>M1018+N1018</f>
        <v>121.958676</v>
      </c>
    </row>
    <row r="1019" spans="1:15" s="552" customFormat="1" ht="18.75" customHeight="1" x14ac:dyDescent="0.25">
      <c r="A1019" s="543"/>
      <c r="B1019" s="544"/>
      <c r="C1019" s="513">
        <v>246</v>
      </c>
      <c r="D1019" s="545" t="s">
        <v>764</v>
      </c>
      <c r="E1019" s="514" t="s">
        <v>42</v>
      </c>
      <c r="F1019" s="546">
        <v>3</v>
      </c>
      <c r="G1019" s="547">
        <v>9.4499999999999993</v>
      </c>
      <c r="H1019" s="548"/>
      <c r="I1019" s="547">
        <f>F1019*G1019</f>
        <v>28.349999999999998</v>
      </c>
      <c r="J1019" s="549"/>
      <c r="K1019" s="548"/>
      <c r="L1019" s="547"/>
      <c r="M1019" s="549"/>
      <c r="N1019" s="550"/>
      <c r="O1019" s="551"/>
    </row>
    <row r="1020" spans="1:15" s="552" customFormat="1" ht="18.75" customHeight="1" x14ac:dyDescent="0.25">
      <c r="A1020" s="543"/>
      <c r="B1020" s="544"/>
      <c r="C1020" s="513">
        <v>2696</v>
      </c>
      <c r="D1020" s="545" t="s">
        <v>765</v>
      </c>
      <c r="E1020" s="514" t="s">
        <v>42</v>
      </c>
      <c r="F1020" s="546">
        <v>3</v>
      </c>
      <c r="G1020" s="547">
        <v>12.57</v>
      </c>
      <c r="H1020" s="548"/>
      <c r="I1020" s="547">
        <f>F1020*G1020</f>
        <v>37.71</v>
      </c>
      <c r="J1020" s="549"/>
      <c r="K1020" s="548"/>
      <c r="L1020" s="547"/>
      <c r="M1020" s="549"/>
      <c r="N1020" s="550"/>
      <c r="O1020" s="551"/>
    </row>
    <row r="1021" spans="1:15" s="552" customFormat="1" ht="18.75" customHeight="1" x14ac:dyDescent="0.25">
      <c r="A1021" s="543"/>
      <c r="B1021" s="544"/>
      <c r="C1021" s="513"/>
      <c r="D1021" s="545" t="s">
        <v>149</v>
      </c>
      <c r="E1021" s="514" t="s">
        <v>56</v>
      </c>
      <c r="F1021" s="546">
        <v>8</v>
      </c>
      <c r="G1021" s="547">
        <v>1.9</v>
      </c>
      <c r="H1021" s="548">
        <f>F1021*G1021</f>
        <v>15.2</v>
      </c>
      <c r="I1021" s="547"/>
      <c r="J1021" s="549"/>
      <c r="K1021" s="548"/>
      <c r="L1021" s="547"/>
      <c r="M1021" s="549"/>
      <c r="N1021" s="550"/>
      <c r="O1021" s="551"/>
    </row>
    <row r="1022" spans="1:15" s="552" customFormat="1" ht="18.75" customHeight="1" x14ac:dyDescent="0.25">
      <c r="A1022" s="543"/>
      <c r="B1022" s="544"/>
      <c r="C1022" s="513"/>
      <c r="D1022" s="545" t="s">
        <v>150</v>
      </c>
      <c r="E1022" s="514" t="s">
        <v>41</v>
      </c>
      <c r="F1022" s="546">
        <v>1</v>
      </c>
      <c r="G1022" s="547">
        <v>2.0099999999999998</v>
      </c>
      <c r="H1022" s="548">
        <f>F1022*G1022</f>
        <v>2.0099999999999998</v>
      </c>
      <c r="I1022" s="547"/>
      <c r="J1022" s="549"/>
      <c r="K1022" s="548"/>
      <c r="L1022" s="547"/>
      <c r="M1022" s="549"/>
      <c r="N1022" s="550"/>
      <c r="O1022" s="551"/>
    </row>
    <row r="1023" spans="1:15" s="552" customFormat="1" ht="18.75" customHeight="1" x14ac:dyDescent="0.25">
      <c r="A1023" s="543"/>
      <c r="B1023" s="544"/>
      <c r="C1023" s="513"/>
      <c r="D1023" s="545" t="s">
        <v>151</v>
      </c>
      <c r="E1023" s="514" t="s">
        <v>41</v>
      </c>
      <c r="F1023" s="546">
        <v>3</v>
      </c>
      <c r="G1023" s="547">
        <v>1.58</v>
      </c>
      <c r="H1023" s="548">
        <f>F1023*G1023</f>
        <v>4.74</v>
      </c>
      <c r="I1023" s="547"/>
      <c r="J1023" s="549"/>
      <c r="K1023" s="548"/>
      <c r="L1023" s="547"/>
      <c r="M1023" s="549"/>
      <c r="N1023" s="550"/>
      <c r="O1023" s="551"/>
    </row>
    <row r="1024" spans="1:15" s="552" customFormat="1" ht="18.75" customHeight="1" x14ac:dyDescent="0.25">
      <c r="A1024" s="543"/>
      <c r="B1024" s="544"/>
      <c r="C1024" s="513"/>
      <c r="D1024" s="545" t="s">
        <v>152</v>
      </c>
      <c r="E1024" s="514" t="s">
        <v>41</v>
      </c>
      <c r="F1024" s="546">
        <v>1</v>
      </c>
      <c r="G1024" s="547">
        <v>7.96</v>
      </c>
      <c r="H1024" s="548">
        <f>F1024*G1024</f>
        <v>7.96</v>
      </c>
      <c r="I1024" s="547"/>
      <c r="J1024" s="549"/>
      <c r="K1024" s="548"/>
      <c r="L1024" s="547"/>
      <c r="M1024" s="549"/>
      <c r="N1024" s="550"/>
      <c r="O1024" s="551"/>
    </row>
    <row r="1025" spans="1:15" s="189" customFormat="1" ht="11.25" x14ac:dyDescent="0.25">
      <c r="A1025" s="173"/>
      <c r="B1025" s="174"/>
      <c r="C1025" s="175"/>
      <c r="D1025" s="176"/>
      <c r="E1025" s="177"/>
      <c r="F1025" s="190"/>
      <c r="G1025" s="192"/>
      <c r="H1025" s="193"/>
      <c r="I1025" s="182"/>
      <c r="J1025" s="183"/>
      <c r="K1025" s="184"/>
      <c r="L1025" s="185"/>
      <c r="M1025" s="186"/>
      <c r="N1025" s="187"/>
      <c r="O1025" s="188"/>
    </row>
    <row r="1026" spans="1:15" s="23" customFormat="1" ht="14.25" x14ac:dyDescent="0.2">
      <c r="A1026" s="223" t="s">
        <v>39</v>
      </c>
      <c r="B1026" s="224" t="s">
        <v>162</v>
      </c>
      <c r="C1026" s="225" t="s">
        <v>809</v>
      </c>
      <c r="D1026" s="226" t="s">
        <v>201</v>
      </c>
      <c r="E1026" s="225" t="s">
        <v>41</v>
      </c>
      <c r="F1026" s="515">
        <v>1</v>
      </c>
      <c r="G1026" s="228">
        <v>36.808495000000001</v>
      </c>
      <c r="H1026" s="229">
        <f>ROUND(SUM(H1027:H1032),2)</f>
        <v>44.22</v>
      </c>
      <c r="I1026" s="230">
        <f>ROUND(SUM(I1027:I1032),2)</f>
        <v>66.06</v>
      </c>
      <c r="J1026" s="231">
        <f>(H1026+I1026)</f>
        <v>110.28</v>
      </c>
      <c r="K1026" s="229">
        <f>F1026*H1026</f>
        <v>44.22</v>
      </c>
      <c r="L1026" s="230">
        <f>F1026*I1026</f>
        <v>66.06</v>
      </c>
      <c r="M1026" s="231">
        <f>K1026+L1026</f>
        <v>110.28</v>
      </c>
      <c r="N1026" s="227">
        <f>M1026*$N$7</f>
        <v>29.863823999999997</v>
      </c>
      <c r="O1026" s="227">
        <f>M1026+N1026</f>
        <v>140.143824</v>
      </c>
    </row>
    <row r="1027" spans="1:15" s="552" customFormat="1" ht="18.75" customHeight="1" x14ac:dyDescent="0.25">
      <c r="A1027" s="543"/>
      <c r="B1027" s="544"/>
      <c r="C1027" s="513">
        <v>246</v>
      </c>
      <c r="D1027" s="545" t="s">
        <v>764</v>
      </c>
      <c r="E1027" s="514" t="s">
        <v>42</v>
      </c>
      <c r="F1027" s="546">
        <v>3</v>
      </c>
      <c r="G1027" s="547">
        <v>9.4499999999999993</v>
      </c>
      <c r="H1027" s="548"/>
      <c r="I1027" s="547">
        <f>F1027*G1027</f>
        <v>28.349999999999998</v>
      </c>
      <c r="J1027" s="549"/>
      <c r="K1027" s="548"/>
      <c r="L1027" s="547"/>
      <c r="M1027" s="549"/>
      <c r="N1027" s="550"/>
      <c r="O1027" s="551"/>
    </row>
    <row r="1028" spans="1:15" s="552" customFormat="1" ht="18.75" customHeight="1" x14ac:dyDescent="0.25">
      <c r="A1028" s="543"/>
      <c r="B1028" s="544"/>
      <c r="C1028" s="513">
        <v>2696</v>
      </c>
      <c r="D1028" s="545" t="s">
        <v>765</v>
      </c>
      <c r="E1028" s="514" t="s">
        <v>42</v>
      </c>
      <c r="F1028" s="546">
        <v>3</v>
      </c>
      <c r="G1028" s="547">
        <v>12.57</v>
      </c>
      <c r="H1028" s="548"/>
      <c r="I1028" s="547">
        <f>F1028*G1028</f>
        <v>37.71</v>
      </c>
      <c r="J1028" s="549"/>
      <c r="K1028" s="548"/>
      <c r="L1028" s="547"/>
      <c r="M1028" s="549"/>
      <c r="N1028" s="550"/>
      <c r="O1028" s="551"/>
    </row>
    <row r="1029" spans="1:15" s="552" customFormat="1" ht="18.75" customHeight="1" x14ac:dyDescent="0.25">
      <c r="A1029" s="543"/>
      <c r="B1029" s="544"/>
      <c r="C1029" s="513"/>
      <c r="D1029" s="545" t="s">
        <v>163</v>
      </c>
      <c r="E1029" s="514" t="s">
        <v>56</v>
      </c>
      <c r="F1029" s="546">
        <v>6</v>
      </c>
      <c r="G1029" s="547">
        <v>4.43</v>
      </c>
      <c r="H1029" s="548">
        <f>F1029*G1029</f>
        <v>26.58</v>
      </c>
      <c r="I1029" s="547"/>
      <c r="J1029" s="549"/>
      <c r="K1029" s="548"/>
      <c r="L1029" s="547"/>
      <c r="M1029" s="549"/>
      <c r="N1029" s="550"/>
      <c r="O1029" s="551"/>
    </row>
    <row r="1030" spans="1:15" s="552" customFormat="1" ht="18.75" customHeight="1" x14ac:dyDescent="0.25">
      <c r="A1030" s="543"/>
      <c r="B1030" s="544"/>
      <c r="C1030" s="513"/>
      <c r="D1030" s="545" t="s">
        <v>164</v>
      </c>
      <c r="E1030" s="514" t="s">
        <v>41</v>
      </c>
      <c r="F1030" s="546">
        <v>1</v>
      </c>
      <c r="G1030" s="547">
        <v>3.62</v>
      </c>
      <c r="H1030" s="548">
        <f>F1030*G1030</f>
        <v>3.62</v>
      </c>
      <c r="I1030" s="547"/>
      <c r="J1030" s="549"/>
      <c r="K1030" s="548"/>
      <c r="L1030" s="547"/>
      <c r="M1030" s="549"/>
      <c r="N1030" s="550"/>
      <c r="O1030" s="551"/>
    </row>
    <row r="1031" spans="1:15" s="552" customFormat="1" ht="18.75" customHeight="1" x14ac:dyDescent="0.25">
      <c r="A1031" s="543"/>
      <c r="B1031" s="544"/>
      <c r="C1031" s="513"/>
      <c r="D1031" s="545" t="s">
        <v>165</v>
      </c>
      <c r="E1031" s="514" t="s">
        <v>41</v>
      </c>
      <c r="F1031" s="546">
        <v>1</v>
      </c>
      <c r="G1031" s="547">
        <v>8.3800000000000008</v>
      </c>
      <c r="H1031" s="548">
        <f>F1031*G1031</f>
        <v>8.3800000000000008</v>
      </c>
      <c r="I1031" s="547"/>
      <c r="J1031" s="549"/>
      <c r="K1031" s="548"/>
      <c r="L1031" s="547"/>
      <c r="M1031" s="549"/>
      <c r="N1031" s="550"/>
      <c r="O1031" s="551"/>
    </row>
    <row r="1032" spans="1:15" s="552" customFormat="1" ht="18.75" customHeight="1" x14ac:dyDescent="0.25">
      <c r="A1032" s="543"/>
      <c r="B1032" s="544"/>
      <c r="C1032" s="513"/>
      <c r="D1032" s="545" t="s">
        <v>166</v>
      </c>
      <c r="E1032" s="514" t="s">
        <v>41</v>
      </c>
      <c r="F1032" s="546">
        <v>2</v>
      </c>
      <c r="G1032" s="547">
        <v>2.82</v>
      </c>
      <c r="H1032" s="548">
        <f>F1032*G1032</f>
        <v>5.64</v>
      </c>
      <c r="I1032" s="547"/>
      <c r="J1032" s="549"/>
      <c r="K1032" s="548"/>
      <c r="L1032" s="547"/>
      <c r="M1032" s="549"/>
      <c r="N1032" s="550"/>
      <c r="O1032" s="551"/>
    </row>
    <row r="1033" spans="1:15" s="179" customFormat="1" ht="15" customHeight="1" x14ac:dyDescent="0.25">
      <c r="A1033" s="202"/>
      <c r="B1033" s="190"/>
      <c r="C1033" s="203"/>
      <c r="D1033" s="190"/>
      <c r="E1033" s="203"/>
      <c r="F1033" s="178"/>
      <c r="G1033" s="191"/>
      <c r="H1033" s="204"/>
      <c r="I1033" s="200"/>
      <c r="J1033" s="201"/>
      <c r="K1033" s="203"/>
      <c r="L1033" s="182"/>
      <c r="M1033" s="183"/>
      <c r="N1033" s="205"/>
      <c r="O1033" s="188"/>
    </row>
    <row r="1034" spans="1:15" s="23" customFormat="1" ht="14.25" x14ac:dyDescent="0.2">
      <c r="A1034" s="135"/>
      <c r="B1034" s="120"/>
      <c r="C1034" s="122"/>
      <c r="D1034" s="124" t="s">
        <v>32</v>
      </c>
      <c r="E1034" s="122"/>
      <c r="F1034" s="90"/>
      <c r="G1034" s="116"/>
      <c r="H1034" s="102"/>
      <c r="I1034" s="35"/>
      <c r="J1034" s="103"/>
      <c r="K1034" s="141"/>
      <c r="L1034" s="35"/>
      <c r="M1034" s="103"/>
      <c r="N1034" s="90"/>
      <c r="O1034" s="90"/>
    </row>
    <row r="1035" spans="1:15" s="23" customFormat="1" ht="14.25" x14ac:dyDescent="0.2">
      <c r="A1035" s="134"/>
      <c r="B1035" s="129"/>
      <c r="C1035" s="29"/>
      <c r="D1035" s="117" t="s">
        <v>83</v>
      </c>
      <c r="E1035" s="30"/>
      <c r="F1035" s="118"/>
      <c r="G1035" s="31"/>
      <c r="H1035" s="104"/>
      <c r="I1035" s="27"/>
      <c r="J1035" s="105"/>
      <c r="K1035" s="31"/>
      <c r="L1035" s="31"/>
      <c r="M1035" s="111"/>
      <c r="N1035" s="92"/>
      <c r="O1035" s="92"/>
    </row>
    <row r="1036" spans="1:15" s="23" customFormat="1" ht="22.5" x14ac:dyDescent="0.2">
      <c r="A1036" s="223" t="s">
        <v>78</v>
      </c>
      <c r="B1036" s="224" t="s">
        <v>34</v>
      </c>
      <c r="C1036" s="225" t="s">
        <v>810</v>
      </c>
      <c r="D1036" s="226" t="s">
        <v>203</v>
      </c>
      <c r="E1036" s="225" t="s">
        <v>81</v>
      </c>
      <c r="F1036" s="515">
        <v>1</v>
      </c>
      <c r="G1036" s="228"/>
      <c r="H1036" s="229">
        <f>ROUND(SUM(H1037:H1040),2)</f>
        <v>46.17</v>
      </c>
      <c r="I1036" s="229">
        <f>ROUND(SUM(I1037:I1040),2)</f>
        <v>13.43</v>
      </c>
      <c r="J1036" s="231">
        <f>(H1036+I1036)</f>
        <v>59.6</v>
      </c>
      <c r="K1036" s="229">
        <f>F1036*H1036</f>
        <v>46.17</v>
      </c>
      <c r="L1036" s="230">
        <f>F1036*I1036</f>
        <v>13.43</v>
      </c>
      <c r="M1036" s="231">
        <f>K1036+L1036</f>
        <v>59.6</v>
      </c>
      <c r="N1036" s="227">
        <f>M1036*$N$7</f>
        <v>16.139679999999998</v>
      </c>
      <c r="O1036" s="227">
        <f>M1036+N1036</f>
        <v>75.739679999999993</v>
      </c>
    </row>
    <row r="1037" spans="1:15" s="552" customFormat="1" ht="18.75" customHeight="1" x14ac:dyDescent="0.25">
      <c r="A1037" s="543"/>
      <c r="B1037" s="544"/>
      <c r="C1037" s="513">
        <v>246</v>
      </c>
      <c r="D1037" s="545" t="s">
        <v>766</v>
      </c>
      <c r="E1037" s="514" t="s">
        <v>42</v>
      </c>
      <c r="F1037" s="546">
        <v>0.61</v>
      </c>
      <c r="G1037" s="547">
        <v>9.4499999999999993</v>
      </c>
      <c r="H1037" s="548"/>
      <c r="I1037" s="547">
        <f>F1037*G1037</f>
        <v>5.7644999999999991</v>
      </c>
      <c r="J1037" s="549"/>
      <c r="K1037" s="548"/>
      <c r="L1037" s="547"/>
      <c r="M1037" s="549"/>
      <c r="N1037" s="550"/>
      <c r="O1037" s="551"/>
    </row>
    <row r="1038" spans="1:15" s="552" customFormat="1" ht="18.75" customHeight="1" x14ac:dyDescent="0.25">
      <c r="A1038" s="543"/>
      <c r="B1038" s="544"/>
      <c r="C1038" s="513">
        <v>2696</v>
      </c>
      <c r="D1038" s="545" t="s">
        <v>765</v>
      </c>
      <c r="E1038" s="514" t="s">
        <v>42</v>
      </c>
      <c r="F1038" s="546">
        <v>0.61</v>
      </c>
      <c r="G1038" s="547">
        <v>12.57</v>
      </c>
      <c r="H1038" s="548"/>
      <c r="I1038" s="547">
        <f>F1038*G1038</f>
        <v>7.6677</v>
      </c>
      <c r="J1038" s="549"/>
      <c r="K1038" s="548"/>
      <c r="L1038" s="547"/>
      <c r="M1038" s="549"/>
      <c r="N1038" s="550"/>
      <c r="O1038" s="551"/>
    </row>
    <row r="1039" spans="1:15" s="552" customFormat="1" ht="18.75" customHeight="1" x14ac:dyDescent="0.25">
      <c r="A1039" s="543"/>
      <c r="B1039" s="544"/>
      <c r="C1039" s="513">
        <v>3146</v>
      </c>
      <c r="D1039" s="545" t="s">
        <v>746</v>
      </c>
      <c r="E1039" s="514" t="s">
        <v>81</v>
      </c>
      <c r="F1039" s="546">
        <v>9.4E-2</v>
      </c>
      <c r="G1039" s="547">
        <v>2.31</v>
      </c>
      <c r="H1039" s="548">
        <f>F1039*G1039</f>
        <v>0.21714</v>
      </c>
      <c r="I1039" s="547"/>
      <c r="J1039" s="549"/>
      <c r="K1039" s="548"/>
      <c r="L1039" s="547"/>
      <c r="M1039" s="549"/>
      <c r="N1039" s="550"/>
      <c r="O1039" s="551"/>
    </row>
    <row r="1040" spans="1:15" s="552" customFormat="1" ht="18.75" customHeight="1" x14ac:dyDescent="0.25">
      <c r="A1040" s="543"/>
      <c r="B1040" s="544"/>
      <c r="C1040" s="513">
        <v>6005</v>
      </c>
      <c r="D1040" s="545" t="s">
        <v>748</v>
      </c>
      <c r="E1040" s="514" t="s">
        <v>41</v>
      </c>
      <c r="F1040" s="546">
        <v>1</v>
      </c>
      <c r="G1040" s="547">
        <v>45.95</v>
      </c>
      <c r="H1040" s="548">
        <f>F1040*G1040</f>
        <v>45.95</v>
      </c>
      <c r="I1040" s="547"/>
      <c r="J1040" s="549"/>
      <c r="K1040" s="548"/>
      <c r="L1040" s="547"/>
      <c r="M1040" s="549"/>
      <c r="N1040" s="550"/>
      <c r="O1040" s="551"/>
    </row>
    <row r="1041" spans="1:15" s="23" customFormat="1" ht="14.25" x14ac:dyDescent="0.2">
      <c r="A1041" s="134"/>
      <c r="B1041" s="129"/>
      <c r="C1041" s="29"/>
      <c r="D1041" s="117" t="s">
        <v>83</v>
      </c>
      <c r="E1041" s="30"/>
      <c r="F1041" s="118"/>
      <c r="G1041" s="31"/>
      <c r="H1041" s="104"/>
      <c r="I1041" s="27"/>
      <c r="J1041" s="105"/>
      <c r="K1041" s="31"/>
      <c r="L1041" s="31"/>
      <c r="M1041" s="111"/>
      <c r="N1041" s="92"/>
      <c r="O1041" s="92"/>
    </row>
    <row r="1042" spans="1:15" s="23" customFormat="1" ht="14.25" x14ac:dyDescent="0.2">
      <c r="A1042" s="135"/>
      <c r="B1042" s="120"/>
      <c r="C1042" s="122"/>
      <c r="D1042" s="124" t="s">
        <v>54</v>
      </c>
      <c r="E1042" s="122"/>
      <c r="F1042" s="90"/>
      <c r="G1042" s="116"/>
      <c r="H1042" s="102"/>
      <c r="I1042" s="35"/>
      <c r="J1042" s="103"/>
      <c r="K1042" s="141"/>
      <c r="L1042" s="35"/>
      <c r="M1042" s="103"/>
      <c r="N1042" s="90"/>
      <c r="O1042" s="90"/>
    </row>
    <row r="1043" spans="1:15" s="23" customFormat="1" ht="14.25" x14ac:dyDescent="0.2">
      <c r="A1043" s="13"/>
      <c r="B1043" s="14"/>
      <c r="C1043" s="175"/>
      <c r="D1043" s="16"/>
      <c r="E1043" s="21"/>
      <c r="F1043" s="18"/>
      <c r="G1043" s="21"/>
      <c r="H1043" s="22"/>
      <c r="I1043" s="143"/>
      <c r="J1043" s="112"/>
      <c r="K1043" s="21"/>
      <c r="L1043" s="22"/>
      <c r="M1043" s="112"/>
      <c r="N1043" s="20"/>
      <c r="O1043" s="20"/>
    </row>
    <row r="1044" spans="1:15" s="23" customFormat="1" ht="22.5" x14ac:dyDescent="0.2">
      <c r="A1044" s="223" t="s">
        <v>39</v>
      </c>
      <c r="B1044" s="224" t="s">
        <v>59</v>
      </c>
      <c r="C1044" s="225" t="s">
        <v>811</v>
      </c>
      <c r="D1044" s="226" t="s">
        <v>210</v>
      </c>
      <c r="E1044" s="225" t="s">
        <v>41</v>
      </c>
      <c r="F1044" s="515">
        <v>1</v>
      </c>
      <c r="G1044" s="228"/>
      <c r="H1044" s="229">
        <f>ROUND(SUM(H1045:H1048),2)</f>
        <v>183.66</v>
      </c>
      <c r="I1044" s="230">
        <f>ROUND(SUM(I1045:I1048),2)</f>
        <v>30.83</v>
      </c>
      <c r="J1044" s="231">
        <f>(H1044+I1044)</f>
        <v>214.49</v>
      </c>
      <c r="K1044" s="229">
        <f>F1044*H1044</f>
        <v>183.66</v>
      </c>
      <c r="L1044" s="230">
        <f>F1044*I1044</f>
        <v>30.83</v>
      </c>
      <c r="M1044" s="231">
        <f>K1044+L1044</f>
        <v>214.49</v>
      </c>
      <c r="N1044" s="227">
        <f>M1044*$N$7</f>
        <v>58.083891999999999</v>
      </c>
      <c r="O1044" s="227">
        <f>M1044+N1044</f>
        <v>272.573892</v>
      </c>
    </row>
    <row r="1045" spans="1:15" s="552" customFormat="1" ht="18.75" customHeight="1" x14ac:dyDescent="0.25">
      <c r="A1045" s="543"/>
      <c r="B1045" s="544"/>
      <c r="C1045" s="513">
        <v>2696</v>
      </c>
      <c r="D1045" s="545" t="s">
        <v>767</v>
      </c>
      <c r="E1045" s="514" t="s">
        <v>42</v>
      </c>
      <c r="F1045" s="546">
        <v>1.4</v>
      </c>
      <c r="G1045" s="547">
        <v>12.57</v>
      </c>
      <c r="H1045" s="548"/>
      <c r="I1045" s="547">
        <f>F1045*G1045</f>
        <v>17.597999999999999</v>
      </c>
      <c r="J1045" s="549"/>
      <c r="K1045" s="548"/>
      <c r="L1045" s="547"/>
      <c r="M1045" s="549"/>
      <c r="N1045" s="550"/>
      <c r="O1045" s="551"/>
    </row>
    <row r="1046" spans="1:15" s="552" customFormat="1" ht="18.75" customHeight="1" x14ac:dyDescent="0.25">
      <c r="A1046" s="543"/>
      <c r="B1046" s="544"/>
      <c r="C1046" s="513">
        <v>246</v>
      </c>
      <c r="D1046" s="545" t="s">
        <v>766</v>
      </c>
      <c r="E1046" s="514" t="s">
        <v>42</v>
      </c>
      <c r="F1046" s="546">
        <v>1.4</v>
      </c>
      <c r="G1046" s="547">
        <v>9.4499999999999993</v>
      </c>
      <c r="H1046" s="548"/>
      <c r="I1046" s="547">
        <f>F1046*G1046</f>
        <v>13.229999999999999</v>
      </c>
      <c r="J1046" s="549"/>
      <c r="K1046" s="548"/>
      <c r="L1046" s="547"/>
      <c r="M1046" s="549"/>
      <c r="N1046" s="550"/>
      <c r="O1046" s="551"/>
    </row>
    <row r="1047" spans="1:15" s="552" customFormat="1" ht="18.75" customHeight="1" x14ac:dyDescent="0.25">
      <c r="A1047" s="543"/>
      <c r="B1047" s="544"/>
      <c r="C1047" s="513" t="s">
        <v>28</v>
      </c>
      <c r="D1047" s="545" t="s">
        <v>15</v>
      </c>
      <c r="E1047" s="514" t="s">
        <v>41</v>
      </c>
      <c r="F1047" s="546">
        <v>1</v>
      </c>
      <c r="G1047" s="547">
        <v>183.54</v>
      </c>
      <c r="H1047" s="548">
        <f>F1047*G1047</f>
        <v>183.54</v>
      </c>
      <c r="I1047" s="547"/>
      <c r="J1047" s="549"/>
      <c r="K1047" s="548"/>
      <c r="L1047" s="547"/>
      <c r="M1047" s="549"/>
      <c r="N1047" s="550"/>
      <c r="O1047" s="551"/>
    </row>
    <row r="1048" spans="1:15" s="552" customFormat="1" ht="18.75" customHeight="1" x14ac:dyDescent="0.25">
      <c r="A1048" s="543"/>
      <c r="B1048" s="544"/>
      <c r="C1048" s="513"/>
      <c r="D1048" s="545" t="s">
        <v>35</v>
      </c>
      <c r="E1048" s="514" t="s">
        <v>41</v>
      </c>
      <c r="F1048" s="546">
        <v>0.94</v>
      </c>
      <c r="G1048" s="547">
        <v>0.13</v>
      </c>
      <c r="H1048" s="548">
        <f>F1048*G1048</f>
        <v>0.1222</v>
      </c>
      <c r="I1048" s="547"/>
      <c r="J1048" s="549"/>
      <c r="K1048" s="548"/>
      <c r="L1048" s="547"/>
      <c r="M1048" s="549"/>
      <c r="N1048" s="550"/>
      <c r="O1048" s="551"/>
    </row>
    <row r="1049" spans="1:15" s="23" customFormat="1" ht="14.25" x14ac:dyDescent="0.2">
      <c r="A1049" s="136"/>
      <c r="B1049" s="128"/>
      <c r="C1049" s="32"/>
      <c r="D1049" s="123"/>
      <c r="E1049" s="32"/>
      <c r="F1049" s="119"/>
      <c r="G1049" s="33"/>
      <c r="H1049" s="106"/>
      <c r="I1049" s="28"/>
      <c r="J1049" s="107"/>
      <c r="K1049" s="33"/>
      <c r="L1049" s="33"/>
      <c r="M1049" s="109"/>
      <c r="N1049" s="91"/>
      <c r="O1049" s="91"/>
    </row>
    <row r="1050" spans="1:15" s="23" customFormat="1" ht="22.5" x14ac:dyDescent="0.2">
      <c r="A1050" s="223"/>
      <c r="B1050" s="224" t="s">
        <v>55</v>
      </c>
      <c r="C1050" s="225" t="s">
        <v>812</v>
      </c>
      <c r="D1050" s="226" t="s">
        <v>208</v>
      </c>
      <c r="E1050" s="225" t="s">
        <v>41</v>
      </c>
      <c r="F1050" s="515">
        <v>1</v>
      </c>
      <c r="G1050" s="228"/>
      <c r="H1050" s="229">
        <f>ROUND(SUM(H1051:H1052),2)</f>
        <v>22.61</v>
      </c>
      <c r="I1050" s="230">
        <f>ROUND(SUM(I1051:I1053),2)</f>
        <v>12.57</v>
      </c>
      <c r="J1050" s="231">
        <f>(H1050+I1050)</f>
        <v>35.18</v>
      </c>
      <c r="K1050" s="229">
        <f>F1050*H1050</f>
        <v>22.61</v>
      </c>
      <c r="L1050" s="230">
        <f>F1050*I1050</f>
        <v>12.57</v>
      </c>
      <c r="M1050" s="231">
        <f>K1050+L1050</f>
        <v>35.18</v>
      </c>
      <c r="N1050" s="227">
        <f>M1050*$N$7</f>
        <v>9.526743999999999</v>
      </c>
      <c r="O1050" s="227">
        <f>M1050+N1050</f>
        <v>44.706744</v>
      </c>
    </row>
    <row r="1051" spans="1:15" s="552" customFormat="1" ht="15" customHeight="1" x14ac:dyDescent="0.25">
      <c r="A1051" s="543"/>
      <c r="B1051" s="544" t="s">
        <v>715</v>
      </c>
      <c r="C1051" s="513">
        <v>4750</v>
      </c>
      <c r="D1051" s="545" t="s">
        <v>714</v>
      </c>
      <c r="E1051" s="514" t="s">
        <v>42</v>
      </c>
      <c r="F1051" s="546">
        <v>1</v>
      </c>
      <c r="G1051" s="547">
        <v>12.57</v>
      </c>
      <c r="H1051" s="548"/>
      <c r="I1051" s="547">
        <f>F1051*G1051</f>
        <v>12.57</v>
      </c>
      <c r="J1051" s="549"/>
      <c r="K1051" s="548"/>
      <c r="L1051" s="547"/>
      <c r="M1051" s="549"/>
      <c r="N1051" s="550"/>
      <c r="O1051" s="551"/>
    </row>
    <row r="1052" spans="1:15" s="552" customFormat="1" ht="15" customHeight="1" x14ac:dyDescent="0.25">
      <c r="A1052" s="543"/>
      <c r="B1052" s="544"/>
      <c r="C1052" s="513"/>
      <c r="D1052" s="545" t="str">
        <f>D1050</f>
        <v>Dispenser para papel toalha, linha standard - Fornecimento e instalação  - Referência Técnica: Columbus ou similar</v>
      </c>
      <c r="E1052" s="514" t="s">
        <v>42</v>
      </c>
      <c r="F1052" s="546">
        <v>1</v>
      </c>
      <c r="G1052" s="547">
        <v>22.61</v>
      </c>
      <c r="H1052" s="548">
        <f>F1052*G1052</f>
        <v>22.61</v>
      </c>
      <c r="I1052" s="547"/>
      <c r="J1052" s="549"/>
      <c r="K1052" s="548"/>
      <c r="L1052" s="547"/>
      <c r="M1052" s="549"/>
      <c r="N1052" s="550"/>
      <c r="O1052" s="551"/>
    </row>
    <row r="1053" spans="1:15" s="23" customFormat="1" ht="14.25" x14ac:dyDescent="0.2">
      <c r="A1053" s="136"/>
      <c r="B1053" s="128"/>
      <c r="C1053" s="32"/>
      <c r="D1053" s="123"/>
      <c r="E1053" s="32"/>
      <c r="F1053" s="119"/>
      <c r="G1053" s="33"/>
      <c r="H1053" s="106"/>
      <c r="I1053" s="28"/>
      <c r="J1053" s="107"/>
      <c r="K1053" s="33"/>
      <c r="L1053" s="33"/>
      <c r="M1053" s="109"/>
      <c r="N1053" s="91"/>
      <c r="O1053" s="91"/>
    </row>
    <row r="1054" spans="1:15" s="23" customFormat="1" ht="22.5" x14ac:dyDescent="0.2">
      <c r="A1054" s="223"/>
      <c r="B1054" s="224" t="s">
        <v>55</v>
      </c>
      <c r="C1054" s="225" t="s">
        <v>813</v>
      </c>
      <c r="D1054" s="226" t="s">
        <v>209</v>
      </c>
      <c r="E1054" s="225" t="s">
        <v>41</v>
      </c>
      <c r="F1054" s="515">
        <v>1</v>
      </c>
      <c r="G1054" s="228"/>
      <c r="H1054" s="229">
        <f>ROUND(SUM(H1055:H1056),2)</f>
        <v>40.08</v>
      </c>
      <c r="I1054" s="230">
        <f>ROUND(SUM(I1055:I1056),2)</f>
        <v>12.57</v>
      </c>
      <c r="J1054" s="231">
        <f>(H1054+I1054)</f>
        <v>52.65</v>
      </c>
      <c r="K1054" s="229">
        <f>F1054*H1054</f>
        <v>40.08</v>
      </c>
      <c r="L1054" s="230">
        <f>F1054*I1054</f>
        <v>12.57</v>
      </c>
      <c r="M1054" s="231">
        <f>K1054+L1054</f>
        <v>52.65</v>
      </c>
      <c r="N1054" s="227">
        <f>M1054*$N$7</f>
        <v>14.257619999999999</v>
      </c>
      <c r="O1054" s="227">
        <f>M1054+N1054</f>
        <v>66.907619999999994</v>
      </c>
    </row>
    <row r="1055" spans="1:15" s="552" customFormat="1" ht="15" customHeight="1" x14ac:dyDescent="0.25">
      <c r="A1055" s="543"/>
      <c r="B1055" s="544" t="s">
        <v>715</v>
      </c>
      <c r="C1055" s="513">
        <v>4750</v>
      </c>
      <c r="D1055" s="545" t="s">
        <v>714</v>
      </c>
      <c r="E1055" s="514" t="s">
        <v>42</v>
      </c>
      <c r="F1055" s="546">
        <v>1</v>
      </c>
      <c r="G1055" s="547">
        <v>12.57</v>
      </c>
      <c r="H1055" s="548"/>
      <c r="I1055" s="547">
        <f>F1055*G1055</f>
        <v>12.57</v>
      </c>
      <c r="J1055" s="549"/>
      <c r="K1055" s="548"/>
      <c r="L1055" s="547"/>
      <c r="M1055" s="549"/>
      <c r="N1055" s="550"/>
      <c r="O1055" s="551"/>
    </row>
    <row r="1056" spans="1:15" s="552" customFormat="1" ht="18.75" customHeight="1" x14ac:dyDescent="0.25">
      <c r="A1056" s="543"/>
      <c r="B1056" s="544"/>
      <c r="C1056" s="513" t="s">
        <v>28</v>
      </c>
      <c r="D1056" s="545" t="str">
        <f>D1054</f>
        <v>Toalheiro tipo gancho em metal cromado de parafusar - referêcnia: linha Deca Flex 2060 ou similar - instalados nos sanitários e nas copas</v>
      </c>
      <c r="E1056" s="514" t="s">
        <v>57</v>
      </c>
      <c r="F1056" s="546">
        <v>1</v>
      </c>
      <c r="G1056" s="547">
        <v>40.08</v>
      </c>
      <c r="H1056" s="548">
        <f>F1056*G1056</f>
        <v>40.08</v>
      </c>
      <c r="I1056" s="547"/>
      <c r="J1056" s="549"/>
      <c r="K1056" s="548"/>
      <c r="L1056" s="547"/>
      <c r="M1056" s="549"/>
      <c r="N1056" s="550"/>
      <c r="O1056" s="551"/>
    </row>
    <row r="1057" spans="1:15" s="12" customFormat="1" ht="12.75" x14ac:dyDescent="0.25">
      <c r="A1057" s="136"/>
      <c r="B1057" s="128"/>
      <c r="C1057" s="32"/>
      <c r="D1057" s="123"/>
      <c r="E1057" s="32"/>
      <c r="F1057" s="119"/>
      <c r="G1057" s="33"/>
      <c r="H1057" s="106"/>
      <c r="I1057" s="28"/>
      <c r="J1057" s="107"/>
      <c r="K1057" s="33"/>
      <c r="L1057" s="33"/>
      <c r="M1057" s="109"/>
      <c r="N1057" s="91"/>
      <c r="O1057" s="91"/>
    </row>
    <row r="1058" spans="1:15" s="266" customFormat="1" ht="12.75" x14ac:dyDescent="0.2">
      <c r="A1058" s="516"/>
      <c r="B1058" s="517"/>
      <c r="C1058" s="518" t="s">
        <v>448</v>
      </c>
      <c r="D1058" s="519" t="s">
        <v>84</v>
      </c>
      <c r="E1058" s="520"/>
      <c r="F1058" s="519"/>
      <c r="G1058" s="520"/>
      <c r="H1058" s="521"/>
      <c r="I1058" s="522"/>
      <c r="J1058" s="523"/>
      <c r="K1058" s="521"/>
      <c r="L1058" s="522"/>
      <c r="M1058" s="523"/>
      <c r="N1058" s="524"/>
      <c r="O1058" s="525">
        <f>SUM(O1060:O1085)</f>
        <v>3430.7472441600003</v>
      </c>
    </row>
    <row r="1059" spans="1:15" x14ac:dyDescent="0.25">
      <c r="A1059" s="137"/>
      <c r="B1059" s="127"/>
      <c r="C1059" s="9"/>
      <c r="D1059" s="125" t="s">
        <v>83</v>
      </c>
      <c r="E1059" s="4"/>
      <c r="F1059" s="121"/>
      <c r="G1059" s="5"/>
      <c r="H1059" s="114"/>
      <c r="I1059" s="5"/>
      <c r="J1059" s="115"/>
      <c r="K1059" s="114"/>
      <c r="L1059" s="5"/>
      <c r="M1059" s="115"/>
      <c r="N1059" s="95"/>
      <c r="O1059" s="95"/>
    </row>
    <row r="1060" spans="1:15" s="23" customFormat="1" ht="14.25" x14ac:dyDescent="0.2">
      <c r="A1060" s="223" t="s">
        <v>78</v>
      </c>
      <c r="B1060" s="224">
        <v>88497</v>
      </c>
      <c r="C1060" s="225" t="s">
        <v>814</v>
      </c>
      <c r="D1060" s="232" t="s">
        <v>734</v>
      </c>
      <c r="E1060" s="225" t="s">
        <v>94</v>
      </c>
      <c r="F1060" s="515">
        <f>'MEMÓRIA DE CÁLCULO'!I216</f>
        <v>28</v>
      </c>
      <c r="G1060" s="228"/>
      <c r="H1060" s="229">
        <f>ROUND(SUM(H1061:H1064),2)</f>
        <v>4.12</v>
      </c>
      <c r="I1060" s="229">
        <f>ROUND(SUM(I1061:I1064),2)</f>
        <v>4.9400000000000004</v>
      </c>
      <c r="J1060" s="231">
        <f>(H1060+I1060)</f>
        <v>9.06</v>
      </c>
      <c r="K1060" s="229">
        <f>F1060*H1060</f>
        <v>115.36</v>
      </c>
      <c r="L1060" s="230">
        <f>F1060*I1060</f>
        <v>138.32000000000002</v>
      </c>
      <c r="M1060" s="231">
        <f>K1060+L1060</f>
        <v>253.68</v>
      </c>
      <c r="N1060" s="227">
        <f>M1060*$N$7</f>
        <v>68.696544000000003</v>
      </c>
      <c r="O1060" s="227">
        <f>M1060+N1060</f>
        <v>322.37654400000002</v>
      </c>
    </row>
    <row r="1061" spans="1:15" s="552" customFormat="1" ht="15" customHeight="1" x14ac:dyDescent="0.25">
      <c r="A1061" s="543"/>
      <c r="B1061" s="544" t="s">
        <v>715</v>
      </c>
      <c r="C1061" s="513">
        <v>4783</v>
      </c>
      <c r="D1061" s="545" t="s">
        <v>738</v>
      </c>
      <c r="E1061" s="514" t="s">
        <v>42</v>
      </c>
      <c r="F1061" s="546">
        <v>0.312</v>
      </c>
      <c r="G1061" s="547">
        <v>12.57</v>
      </c>
      <c r="H1061" s="548"/>
      <c r="I1061" s="547">
        <f>F1061*G1061</f>
        <v>3.92184</v>
      </c>
      <c r="J1061" s="549"/>
      <c r="K1061" s="548"/>
      <c r="L1061" s="547"/>
      <c r="M1061" s="549"/>
      <c r="N1061" s="550"/>
      <c r="O1061" s="551"/>
    </row>
    <row r="1062" spans="1:15" s="552" customFormat="1" ht="15" customHeight="1" x14ac:dyDescent="0.25">
      <c r="A1062" s="543"/>
      <c r="B1062" s="544" t="s">
        <v>658</v>
      </c>
      <c r="C1062" s="513">
        <v>6111</v>
      </c>
      <c r="D1062" s="545" t="s">
        <v>670</v>
      </c>
      <c r="E1062" s="514" t="s">
        <v>42</v>
      </c>
      <c r="F1062" s="546">
        <v>0.114</v>
      </c>
      <c r="G1062" s="547">
        <v>8.92</v>
      </c>
      <c r="H1062" s="548"/>
      <c r="I1062" s="547">
        <f t="shared" ref="I1062" si="135">F1062*G1062</f>
        <v>1.01688</v>
      </c>
      <c r="J1062" s="549"/>
      <c r="K1062" s="548"/>
      <c r="L1062" s="547"/>
      <c r="M1062" s="549"/>
      <c r="N1062" s="550"/>
      <c r="O1062" s="551"/>
    </row>
    <row r="1063" spans="1:15" s="552" customFormat="1" ht="15" customHeight="1" x14ac:dyDescent="0.25">
      <c r="A1063" s="543"/>
      <c r="B1063" s="544" t="s">
        <v>657</v>
      </c>
      <c r="C1063" s="513">
        <v>3767</v>
      </c>
      <c r="D1063" s="545" t="s">
        <v>735</v>
      </c>
      <c r="E1063" s="514" t="s">
        <v>81</v>
      </c>
      <c r="F1063" s="546">
        <v>0.06</v>
      </c>
      <c r="G1063" s="547">
        <v>0.73</v>
      </c>
      <c r="H1063" s="548">
        <f t="shared" ref="H1063" si="136">F1063*G1063</f>
        <v>4.3799999999999999E-2</v>
      </c>
      <c r="I1063" s="547"/>
      <c r="J1063" s="549"/>
      <c r="K1063" s="548"/>
      <c r="L1063" s="547"/>
      <c r="M1063" s="549"/>
      <c r="N1063" s="550"/>
      <c r="O1063" s="551"/>
    </row>
    <row r="1064" spans="1:15" s="552" customFormat="1" ht="15" customHeight="1" x14ac:dyDescent="0.25">
      <c r="A1064" s="543"/>
      <c r="B1064" s="544" t="s">
        <v>657</v>
      </c>
      <c r="C1064" s="513">
        <v>4051</v>
      </c>
      <c r="D1064" s="545" t="s">
        <v>736</v>
      </c>
      <c r="E1064" s="514" t="s">
        <v>737</v>
      </c>
      <c r="F1064" s="546">
        <v>4.8899999999999999E-2</v>
      </c>
      <c r="G1064" s="547">
        <v>83.3</v>
      </c>
      <c r="H1064" s="548">
        <f>F1064*G1064</f>
        <v>4.0733699999999997</v>
      </c>
      <c r="I1064" s="547"/>
      <c r="J1064" s="549"/>
      <c r="K1064" s="548"/>
      <c r="L1064" s="547"/>
      <c r="M1064" s="549"/>
      <c r="N1064" s="550"/>
      <c r="O1064" s="551"/>
    </row>
    <row r="1065" spans="1:15" s="23" customFormat="1" ht="14.25" x14ac:dyDescent="0.2">
      <c r="A1065" s="137"/>
      <c r="B1065" s="127"/>
      <c r="C1065" s="9"/>
      <c r="D1065" s="125" t="s">
        <v>83</v>
      </c>
      <c r="E1065" s="4"/>
      <c r="F1065" s="121"/>
      <c r="G1065" s="5"/>
      <c r="H1065" s="114"/>
      <c r="I1065" s="5"/>
      <c r="J1065" s="115"/>
      <c r="K1065" s="114"/>
      <c r="L1065" s="5"/>
      <c r="M1065" s="115"/>
      <c r="N1065" s="95"/>
      <c r="O1065" s="95"/>
    </row>
    <row r="1066" spans="1:15" s="23" customFormat="1" ht="14.25" x14ac:dyDescent="0.2">
      <c r="A1066" s="223" t="s">
        <v>78</v>
      </c>
      <c r="B1066" s="224">
        <v>88489</v>
      </c>
      <c r="C1066" s="225" t="s">
        <v>815</v>
      </c>
      <c r="D1066" s="226" t="s">
        <v>217</v>
      </c>
      <c r="E1066" s="225" t="s">
        <v>94</v>
      </c>
      <c r="F1066" s="515">
        <f>'MEMÓRIA DE CÁLCULO'!G216</f>
        <v>212.5</v>
      </c>
      <c r="G1066" s="228"/>
      <c r="H1066" s="229">
        <f>ROUND(SUM(H1067:H1069),2)</f>
        <v>6.07</v>
      </c>
      <c r="I1066" s="229">
        <f>ROUND(SUM(I1067:I1069),2)</f>
        <v>2.97</v>
      </c>
      <c r="J1066" s="231">
        <f>(H1066+I1066)</f>
        <v>9.0400000000000009</v>
      </c>
      <c r="K1066" s="229">
        <f>F1066*H1066</f>
        <v>1289.875</v>
      </c>
      <c r="L1066" s="230">
        <f>F1066*I1066</f>
        <v>631.125</v>
      </c>
      <c r="M1066" s="231">
        <f>K1066+L1066</f>
        <v>1921</v>
      </c>
      <c r="N1066" s="227">
        <f>M1066*$N$7</f>
        <v>520.20679999999993</v>
      </c>
      <c r="O1066" s="227">
        <f>M1066+N1066</f>
        <v>2441.2067999999999</v>
      </c>
    </row>
    <row r="1067" spans="1:15" s="552" customFormat="1" ht="15" customHeight="1" x14ac:dyDescent="0.25">
      <c r="A1067" s="543"/>
      <c r="B1067" s="544" t="s">
        <v>715</v>
      </c>
      <c r="C1067" s="513">
        <v>4783</v>
      </c>
      <c r="D1067" s="545" t="s">
        <v>738</v>
      </c>
      <c r="E1067" s="514" t="s">
        <v>42</v>
      </c>
      <c r="F1067" s="546">
        <v>0.187</v>
      </c>
      <c r="G1067" s="547">
        <v>12.57</v>
      </c>
      <c r="H1067" s="548"/>
      <c r="I1067" s="547">
        <f>F1067*G1067</f>
        <v>2.35059</v>
      </c>
      <c r="J1067" s="549"/>
      <c r="K1067" s="548"/>
      <c r="L1067" s="547"/>
      <c r="M1067" s="549"/>
      <c r="N1067" s="550"/>
      <c r="O1067" s="551"/>
    </row>
    <row r="1068" spans="1:15" s="552" customFormat="1" ht="15" customHeight="1" x14ac:dyDescent="0.25">
      <c r="A1068" s="543"/>
      <c r="B1068" s="544" t="s">
        <v>658</v>
      </c>
      <c r="C1068" s="513">
        <v>6111</v>
      </c>
      <c r="D1068" s="545" t="s">
        <v>670</v>
      </c>
      <c r="E1068" s="514" t="s">
        <v>42</v>
      </c>
      <c r="F1068" s="546">
        <v>6.9000000000000006E-2</v>
      </c>
      <c r="G1068" s="547">
        <v>8.92</v>
      </c>
      <c r="H1068" s="548"/>
      <c r="I1068" s="547">
        <f t="shared" ref="I1068" si="137">F1068*G1068</f>
        <v>0.61548000000000003</v>
      </c>
      <c r="J1068" s="549"/>
      <c r="K1068" s="548"/>
      <c r="L1068" s="547"/>
      <c r="M1068" s="549"/>
      <c r="N1068" s="550"/>
      <c r="O1068" s="551"/>
    </row>
    <row r="1069" spans="1:15" s="552" customFormat="1" ht="15" customHeight="1" x14ac:dyDescent="0.25">
      <c r="A1069" s="543"/>
      <c r="B1069" s="544" t="s">
        <v>657</v>
      </c>
      <c r="C1069" s="513">
        <v>7356</v>
      </c>
      <c r="D1069" s="545" t="s">
        <v>739</v>
      </c>
      <c r="E1069" s="514" t="s">
        <v>740</v>
      </c>
      <c r="F1069" s="546">
        <v>0.33</v>
      </c>
      <c r="G1069" s="547">
        <v>18.38</v>
      </c>
      <c r="H1069" s="548">
        <f t="shared" ref="H1069" si="138">F1069*G1069</f>
        <v>6.0654000000000003</v>
      </c>
      <c r="I1069" s="547"/>
      <c r="J1069" s="549"/>
      <c r="K1069" s="548"/>
      <c r="L1069" s="547"/>
      <c r="M1069" s="549"/>
      <c r="N1069" s="550"/>
      <c r="O1069" s="551"/>
    </row>
    <row r="1070" spans="1:15" x14ac:dyDescent="0.25">
      <c r="A1070" s="137"/>
      <c r="B1070" s="127"/>
      <c r="C1070" s="9"/>
      <c r="D1070" s="125" t="s">
        <v>83</v>
      </c>
      <c r="E1070" s="4"/>
      <c r="F1070" s="121"/>
      <c r="G1070" s="5"/>
      <c r="H1070" s="114"/>
      <c r="I1070" s="5"/>
      <c r="J1070" s="115"/>
      <c r="K1070" s="114"/>
      <c r="L1070" s="5"/>
      <c r="M1070" s="115"/>
      <c r="N1070" s="95"/>
      <c r="O1070" s="95"/>
    </row>
    <row r="1071" spans="1:15" s="23" customFormat="1" ht="14.25" x14ac:dyDescent="0.2">
      <c r="A1071" s="223" t="s">
        <v>78</v>
      </c>
      <c r="B1071" s="224">
        <v>88488</v>
      </c>
      <c r="C1071" s="225" t="s">
        <v>816</v>
      </c>
      <c r="D1071" s="226" t="s">
        <v>218</v>
      </c>
      <c r="E1071" s="225" t="s">
        <v>94</v>
      </c>
      <c r="F1071" s="515">
        <v>45</v>
      </c>
      <c r="G1071" s="228"/>
      <c r="H1071" s="229">
        <f>ROUND(SUM(H1072:H1074),2)</f>
        <v>6.07</v>
      </c>
      <c r="I1071" s="229">
        <f>ROUND(SUM(I1072:I1074),2)</f>
        <v>3.86</v>
      </c>
      <c r="J1071" s="231">
        <f>(H1071+I1071)</f>
        <v>9.93</v>
      </c>
      <c r="K1071" s="229">
        <f>F1071*H1071</f>
        <v>273.15000000000003</v>
      </c>
      <c r="L1071" s="230">
        <f>F1071*I1071</f>
        <v>173.7</v>
      </c>
      <c r="M1071" s="231">
        <f>K1071+L1071</f>
        <v>446.85</v>
      </c>
      <c r="N1071" s="227">
        <f>M1071*$N$7</f>
        <v>121.00698</v>
      </c>
      <c r="O1071" s="227">
        <f>M1071+N1071</f>
        <v>567.85698000000002</v>
      </c>
    </row>
    <row r="1072" spans="1:15" s="552" customFormat="1" ht="15" customHeight="1" x14ac:dyDescent="0.25">
      <c r="A1072" s="543"/>
      <c r="B1072" s="544" t="s">
        <v>715</v>
      </c>
      <c r="C1072" s="513">
        <v>4783</v>
      </c>
      <c r="D1072" s="545" t="s">
        <v>738</v>
      </c>
      <c r="E1072" s="514" t="s">
        <v>42</v>
      </c>
      <c r="F1072" s="546">
        <v>0.24399999999999999</v>
      </c>
      <c r="G1072" s="547">
        <v>12.57</v>
      </c>
      <c r="H1072" s="548"/>
      <c r="I1072" s="547">
        <f>F1072*G1072</f>
        <v>3.0670799999999998</v>
      </c>
      <c r="J1072" s="549"/>
      <c r="K1072" s="548"/>
      <c r="L1072" s="547"/>
      <c r="M1072" s="549"/>
      <c r="N1072" s="550"/>
      <c r="O1072" s="551"/>
    </row>
    <row r="1073" spans="1:15" s="552" customFormat="1" ht="15" customHeight="1" x14ac:dyDescent="0.25">
      <c r="A1073" s="543"/>
      <c r="B1073" s="544" t="s">
        <v>658</v>
      </c>
      <c r="C1073" s="513">
        <v>6111</v>
      </c>
      <c r="D1073" s="545" t="s">
        <v>670</v>
      </c>
      <c r="E1073" s="514" t="s">
        <v>42</v>
      </c>
      <c r="F1073" s="546">
        <v>8.8999999999999996E-2</v>
      </c>
      <c r="G1073" s="547">
        <v>8.92</v>
      </c>
      <c r="H1073" s="548"/>
      <c r="I1073" s="547">
        <f t="shared" ref="I1073" si="139">F1073*G1073</f>
        <v>0.79387999999999992</v>
      </c>
      <c r="J1073" s="549"/>
      <c r="K1073" s="548"/>
      <c r="L1073" s="547"/>
      <c r="M1073" s="549"/>
      <c r="N1073" s="550"/>
      <c r="O1073" s="551"/>
    </row>
    <row r="1074" spans="1:15" s="552" customFormat="1" ht="15" customHeight="1" x14ac:dyDescent="0.25">
      <c r="A1074" s="543"/>
      <c r="B1074" s="544" t="s">
        <v>657</v>
      </c>
      <c r="C1074" s="513">
        <v>7356</v>
      </c>
      <c r="D1074" s="545" t="s">
        <v>739</v>
      </c>
      <c r="E1074" s="514" t="s">
        <v>740</v>
      </c>
      <c r="F1074" s="546">
        <v>0.33</v>
      </c>
      <c r="G1074" s="547">
        <v>18.38</v>
      </c>
      <c r="H1074" s="548">
        <f t="shared" ref="H1074" si="140">F1074*G1074</f>
        <v>6.0654000000000003</v>
      </c>
      <c r="I1074" s="547"/>
      <c r="J1074" s="549"/>
      <c r="K1074" s="548"/>
      <c r="L1074" s="547"/>
      <c r="M1074" s="549"/>
      <c r="N1074" s="550"/>
      <c r="O1074" s="551"/>
    </row>
    <row r="1075" spans="1:15" x14ac:dyDescent="0.25">
      <c r="A1075" s="137"/>
      <c r="B1075" s="127"/>
      <c r="C1075" s="9"/>
      <c r="D1075" s="125" t="s">
        <v>83</v>
      </c>
      <c r="E1075" s="4"/>
      <c r="F1075" s="121"/>
      <c r="G1075" s="5"/>
      <c r="H1075" s="114"/>
      <c r="I1075" s="5"/>
      <c r="J1075" s="115"/>
      <c r="K1075" s="114"/>
      <c r="L1075" s="5"/>
      <c r="M1075" s="115"/>
      <c r="N1075" s="95"/>
      <c r="O1075" s="95"/>
    </row>
    <row r="1076" spans="1:15" s="23" customFormat="1" ht="22.5" x14ac:dyDescent="0.2">
      <c r="A1076" s="223" t="s">
        <v>78</v>
      </c>
      <c r="B1076" s="224" t="s">
        <v>741</v>
      </c>
      <c r="C1076" s="225" t="s">
        <v>817</v>
      </c>
      <c r="D1076" s="226" t="s">
        <v>219</v>
      </c>
      <c r="E1076" s="225" t="s">
        <v>94</v>
      </c>
      <c r="F1076" s="515">
        <f>0.7*2.1*3</f>
        <v>4.41</v>
      </c>
      <c r="G1076" s="228"/>
      <c r="H1076" s="229">
        <f>ROUND(SUM(H1077:H1083),2)</f>
        <v>12.4</v>
      </c>
      <c r="I1076" s="229">
        <f>ROUND(SUM(I1077:I1083),2)</f>
        <v>5.32</v>
      </c>
      <c r="J1076" s="231">
        <f>(H1076+I1076)</f>
        <v>17.72</v>
      </c>
      <c r="K1076" s="229">
        <f>F1076*H1076</f>
        <v>54.684000000000005</v>
      </c>
      <c r="L1076" s="230">
        <f>F1076*I1076</f>
        <v>23.461200000000002</v>
      </c>
      <c r="M1076" s="231">
        <f>K1076+L1076</f>
        <v>78.145200000000003</v>
      </c>
      <c r="N1076" s="227">
        <f>M1076*$N$7</f>
        <v>21.161720159999998</v>
      </c>
      <c r="O1076" s="227">
        <f>M1076+N1076</f>
        <v>99.306920160000004</v>
      </c>
    </row>
    <row r="1077" spans="1:15" s="552" customFormat="1" ht="15" customHeight="1" x14ac:dyDescent="0.25">
      <c r="A1077" s="543"/>
      <c r="B1077" s="544" t="s">
        <v>715</v>
      </c>
      <c r="C1077" s="513">
        <v>4783</v>
      </c>
      <c r="D1077" s="545" t="s">
        <v>738</v>
      </c>
      <c r="E1077" s="514" t="s">
        <v>42</v>
      </c>
      <c r="F1077" s="546">
        <v>0.312</v>
      </c>
      <c r="G1077" s="547">
        <v>12.57</v>
      </c>
      <c r="H1077" s="548"/>
      <c r="I1077" s="547">
        <f>F1077*G1077</f>
        <v>3.92184</v>
      </c>
      <c r="J1077" s="549"/>
      <c r="K1077" s="548"/>
      <c r="L1077" s="547"/>
      <c r="M1077" s="549"/>
      <c r="N1077" s="550"/>
      <c r="O1077" s="551"/>
    </row>
    <row r="1078" spans="1:15" s="552" customFormat="1" ht="15" customHeight="1" x14ac:dyDescent="0.25">
      <c r="A1078" s="543"/>
      <c r="B1078" s="544" t="s">
        <v>658</v>
      </c>
      <c r="C1078" s="513">
        <v>6111</v>
      </c>
      <c r="D1078" s="545" t="s">
        <v>670</v>
      </c>
      <c r="E1078" s="514" t="s">
        <v>42</v>
      </c>
      <c r="F1078" s="546">
        <v>0.114</v>
      </c>
      <c r="G1078" s="547">
        <v>8.92</v>
      </c>
      <c r="H1078" s="548"/>
      <c r="I1078" s="547">
        <f t="shared" ref="I1078" si="141">F1078*G1078</f>
        <v>1.01688</v>
      </c>
      <c r="J1078" s="549"/>
      <c r="K1078" s="548"/>
      <c r="L1078" s="547"/>
      <c r="M1078" s="549"/>
      <c r="N1078" s="550"/>
      <c r="O1078" s="551"/>
    </row>
    <row r="1079" spans="1:15" s="552" customFormat="1" ht="15" customHeight="1" x14ac:dyDescent="0.25">
      <c r="A1079" s="543"/>
      <c r="B1079" s="544" t="s">
        <v>657</v>
      </c>
      <c r="C1079" s="513">
        <v>3767</v>
      </c>
      <c r="D1079" s="545" t="s">
        <v>735</v>
      </c>
      <c r="E1079" s="514" t="s">
        <v>81</v>
      </c>
      <c r="F1079" s="546">
        <v>0.06</v>
      </c>
      <c r="G1079" s="547">
        <v>0.73</v>
      </c>
      <c r="H1079" s="548">
        <f t="shared" ref="H1079" si="142">F1079*G1079</f>
        <v>4.3799999999999999E-2</v>
      </c>
      <c r="I1079" s="547"/>
      <c r="J1079" s="549"/>
      <c r="K1079" s="548"/>
      <c r="L1079" s="547"/>
      <c r="M1079" s="549"/>
      <c r="N1079" s="550"/>
      <c r="O1079" s="551"/>
    </row>
    <row r="1080" spans="1:15" s="552" customFormat="1" ht="15" customHeight="1" x14ac:dyDescent="0.25">
      <c r="A1080" s="543"/>
      <c r="B1080" s="544" t="s">
        <v>657</v>
      </c>
      <c r="C1080" s="513">
        <v>4051</v>
      </c>
      <c r="D1080" s="545" t="s">
        <v>736</v>
      </c>
      <c r="E1080" s="514" t="s">
        <v>737</v>
      </c>
      <c r="F1080" s="546">
        <v>4.8899999999999999E-2</v>
      </c>
      <c r="G1080" s="547">
        <v>83.3</v>
      </c>
      <c r="H1080" s="548">
        <f>F1080*G1080</f>
        <v>4.0733699999999997</v>
      </c>
      <c r="I1080" s="547"/>
      <c r="J1080" s="549"/>
      <c r="K1080" s="548"/>
      <c r="L1080" s="547"/>
      <c r="M1080" s="549"/>
      <c r="N1080" s="550"/>
      <c r="O1080" s="551"/>
    </row>
    <row r="1081" spans="1:15" s="552" customFormat="1" ht="15" customHeight="1" x14ac:dyDescent="0.25">
      <c r="A1081" s="543"/>
      <c r="B1081" s="544" t="s">
        <v>658</v>
      </c>
      <c r="C1081" s="513">
        <v>5318</v>
      </c>
      <c r="D1081" s="545" t="s">
        <v>742</v>
      </c>
      <c r="E1081" s="514" t="s">
        <v>740</v>
      </c>
      <c r="F1081" s="546">
        <v>0.04</v>
      </c>
      <c r="G1081" s="547">
        <v>9.5</v>
      </c>
      <c r="H1081" s="548"/>
      <c r="I1081" s="547">
        <f t="shared" ref="I1081" si="143">F1081*G1081</f>
        <v>0.38</v>
      </c>
      <c r="J1081" s="549"/>
      <c r="K1081" s="548"/>
      <c r="L1081" s="547"/>
      <c r="M1081" s="549"/>
      <c r="N1081" s="550"/>
      <c r="O1081" s="551"/>
    </row>
    <row r="1082" spans="1:15" s="552" customFormat="1" ht="15" customHeight="1" x14ac:dyDescent="0.25">
      <c r="A1082" s="543"/>
      <c r="B1082" s="544" t="s">
        <v>657</v>
      </c>
      <c r="C1082" s="513">
        <v>6086</v>
      </c>
      <c r="D1082" s="545" t="s">
        <v>743</v>
      </c>
      <c r="E1082" s="514" t="s">
        <v>744</v>
      </c>
      <c r="F1082" s="546">
        <v>5.6000000000000001E-2</v>
      </c>
      <c r="G1082" s="547">
        <v>82.34</v>
      </c>
      <c r="H1082" s="548">
        <f t="shared" ref="H1082" si="144">F1082*G1082</f>
        <v>4.61104</v>
      </c>
      <c r="I1082" s="547"/>
      <c r="J1082" s="549"/>
      <c r="K1082" s="548"/>
      <c r="L1082" s="547"/>
      <c r="M1082" s="549"/>
      <c r="N1082" s="550"/>
      <c r="O1082" s="551"/>
    </row>
    <row r="1083" spans="1:15" s="552" customFormat="1" ht="15" customHeight="1" x14ac:dyDescent="0.25">
      <c r="A1083" s="543"/>
      <c r="B1083" s="544" t="s">
        <v>657</v>
      </c>
      <c r="C1083" s="513">
        <v>7311</v>
      </c>
      <c r="D1083" s="545" t="s">
        <v>745</v>
      </c>
      <c r="E1083" s="514" t="s">
        <v>740</v>
      </c>
      <c r="F1083" s="546">
        <v>0.16</v>
      </c>
      <c r="G1083" s="547">
        <v>22.92</v>
      </c>
      <c r="H1083" s="548">
        <f>F1083*G1083</f>
        <v>3.6672000000000002</v>
      </c>
      <c r="I1083" s="547"/>
      <c r="J1083" s="549"/>
      <c r="K1083" s="548"/>
      <c r="L1083" s="547"/>
      <c r="M1083" s="549"/>
      <c r="N1083" s="550"/>
      <c r="O1083" s="551"/>
    </row>
    <row r="1084" spans="1:15" x14ac:dyDescent="0.25">
      <c r="A1084" s="137"/>
      <c r="B1084" s="127"/>
      <c r="C1084" s="9"/>
      <c r="D1084" s="125" t="s">
        <v>83</v>
      </c>
      <c r="E1084" s="4"/>
      <c r="F1084" s="121"/>
      <c r="G1084" s="5"/>
      <c r="H1084" s="114"/>
      <c r="I1084" s="5"/>
      <c r="J1084" s="115"/>
      <c r="K1084" s="114"/>
      <c r="L1084" s="5"/>
      <c r="M1084" s="115"/>
      <c r="N1084" s="95"/>
      <c r="O1084" s="95"/>
    </row>
    <row r="1085" spans="1:15" x14ac:dyDescent="0.25">
      <c r="A1085" s="137"/>
      <c r="B1085" s="127"/>
      <c r="C1085" s="9"/>
      <c r="D1085" s="125" t="s">
        <v>83</v>
      </c>
      <c r="E1085" s="4"/>
      <c r="F1085" s="121"/>
      <c r="G1085" s="5"/>
      <c r="H1085" s="114"/>
      <c r="I1085" s="5"/>
      <c r="J1085" s="115"/>
      <c r="K1085" s="114"/>
      <c r="L1085" s="5"/>
      <c r="M1085" s="115"/>
      <c r="N1085" s="95"/>
      <c r="O1085" s="95"/>
    </row>
    <row r="1086" spans="1:15" s="23" customFormat="1" ht="15.75" x14ac:dyDescent="0.2">
      <c r="A1086" s="149"/>
      <c r="B1086" s="150"/>
      <c r="C1086" s="511">
        <v>6</v>
      </c>
      <c r="D1086" s="151" t="s">
        <v>481</v>
      </c>
      <c r="E1086" s="152"/>
      <c r="F1086" s="151"/>
      <c r="G1086" s="152"/>
      <c r="H1086" s="153"/>
      <c r="I1086" s="154"/>
      <c r="J1086" s="155"/>
      <c r="K1086" s="153"/>
      <c r="L1086" s="154"/>
      <c r="M1086" s="155"/>
      <c r="N1086" s="156"/>
      <c r="O1086" s="157">
        <f>SUM(O1088:O1451)/2</f>
        <v>76054.204364340025</v>
      </c>
    </row>
    <row r="1087" spans="1:15" s="23" customFormat="1" ht="14.25" x14ac:dyDescent="0.2">
      <c r="A1087" s="134"/>
      <c r="B1087" s="129"/>
      <c r="C1087" s="29"/>
      <c r="D1087" s="117"/>
      <c r="E1087" s="30"/>
      <c r="F1087" s="118"/>
      <c r="G1087" s="31"/>
      <c r="H1087" s="104"/>
      <c r="I1087" s="27"/>
      <c r="J1087" s="105"/>
      <c r="K1087" s="104"/>
      <c r="L1087" s="27"/>
      <c r="M1087" s="105"/>
      <c r="N1087" s="93"/>
      <c r="O1087" s="93"/>
    </row>
    <row r="1088" spans="1:15" s="266" customFormat="1" ht="12.75" x14ac:dyDescent="0.2">
      <c r="A1088" s="516"/>
      <c r="B1088" s="517"/>
      <c r="C1088" s="518" t="s">
        <v>449</v>
      </c>
      <c r="D1088" s="519" t="s">
        <v>167</v>
      </c>
      <c r="E1088" s="520"/>
      <c r="F1088" s="519"/>
      <c r="G1088" s="520"/>
      <c r="H1088" s="521"/>
      <c r="I1088" s="522"/>
      <c r="J1088" s="523"/>
      <c r="K1088" s="521"/>
      <c r="L1088" s="522"/>
      <c r="M1088" s="523"/>
      <c r="N1088" s="524"/>
      <c r="O1088" s="525">
        <f>SUM(O1090:O1106)</f>
        <v>2188.9016596799997</v>
      </c>
    </row>
    <row r="1089" spans="1:15" s="23" customFormat="1" ht="14.25" x14ac:dyDescent="0.2">
      <c r="A1089" s="134"/>
      <c r="B1089" s="130"/>
      <c r="C1089" s="34"/>
      <c r="D1089" s="117" t="s">
        <v>83</v>
      </c>
      <c r="E1089" s="30"/>
      <c r="F1089" s="118"/>
      <c r="G1089" s="31"/>
      <c r="H1089" s="104"/>
      <c r="I1089" s="27"/>
      <c r="J1089" s="105"/>
      <c r="K1089" s="104"/>
      <c r="L1089" s="27"/>
      <c r="M1089" s="105"/>
      <c r="N1089" s="91"/>
      <c r="O1089" s="91"/>
    </row>
    <row r="1090" spans="1:15" s="23" customFormat="1" ht="22.5" x14ac:dyDescent="0.2">
      <c r="A1090" s="223" t="s">
        <v>78</v>
      </c>
      <c r="B1090" s="224">
        <v>85376</v>
      </c>
      <c r="C1090" s="225" t="s">
        <v>450</v>
      </c>
      <c r="D1090" s="226" t="s">
        <v>482</v>
      </c>
      <c r="E1090" s="225" t="s">
        <v>27</v>
      </c>
      <c r="F1090" s="515">
        <f>'MEMÓRIA DE CÁLCULO'!D229+'MEMÓRIA DE CÁLCULO'!D230</f>
        <v>61.47</v>
      </c>
      <c r="G1090" s="228"/>
      <c r="H1090" s="229">
        <f>ROUND(SUM(H1091:H1092),2)</f>
        <v>0</v>
      </c>
      <c r="I1090" s="229">
        <f>ROUND(SUM(I1091:I1092),2)</f>
        <v>3.05</v>
      </c>
      <c r="J1090" s="231">
        <f>(H1090+I1090)</f>
        <v>3.05</v>
      </c>
      <c r="K1090" s="229">
        <f>F1090*H1090</f>
        <v>0</v>
      </c>
      <c r="L1090" s="230">
        <f>F1090*I1090</f>
        <v>187.48349999999999</v>
      </c>
      <c r="M1090" s="231">
        <f>K1090+L1090</f>
        <v>187.48349999999999</v>
      </c>
      <c r="N1090" s="227">
        <f>M1090*$N$7</f>
        <v>50.770531799999993</v>
      </c>
      <c r="O1090" s="227">
        <f>M1090+N1090</f>
        <v>238.25403179999998</v>
      </c>
    </row>
    <row r="1091" spans="1:15" s="552" customFormat="1" ht="15" customHeight="1" x14ac:dyDescent="0.25">
      <c r="A1091" s="543"/>
      <c r="B1091" s="544" t="s">
        <v>715</v>
      </c>
      <c r="C1091" s="513">
        <v>4750</v>
      </c>
      <c r="D1091" s="545" t="s">
        <v>714</v>
      </c>
      <c r="E1091" s="514" t="s">
        <v>42</v>
      </c>
      <c r="F1091" s="546">
        <v>0.03</v>
      </c>
      <c r="G1091" s="547">
        <v>12.57</v>
      </c>
      <c r="H1091" s="548"/>
      <c r="I1091" s="547">
        <f t="shared" ref="I1091:I1092" si="145">F1091*G1091</f>
        <v>0.37709999999999999</v>
      </c>
      <c r="J1091" s="549"/>
      <c r="K1091" s="548"/>
      <c r="L1091" s="547"/>
      <c r="M1091" s="549"/>
      <c r="N1091" s="550"/>
      <c r="O1091" s="551"/>
    </row>
    <row r="1092" spans="1:15" s="552" customFormat="1" ht="15" customHeight="1" x14ac:dyDescent="0.25">
      <c r="A1092" s="543"/>
      <c r="B1092" s="544" t="s">
        <v>658</v>
      </c>
      <c r="C1092" s="513">
        <v>6111</v>
      </c>
      <c r="D1092" s="545" t="s">
        <v>670</v>
      </c>
      <c r="E1092" s="514" t="s">
        <v>42</v>
      </c>
      <c r="F1092" s="546">
        <v>0.3</v>
      </c>
      <c r="G1092" s="547">
        <v>8.92</v>
      </c>
      <c r="H1092" s="548"/>
      <c r="I1092" s="547">
        <f t="shared" si="145"/>
        <v>2.6759999999999997</v>
      </c>
      <c r="J1092" s="549"/>
      <c r="K1092" s="548"/>
      <c r="L1092" s="547"/>
      <c r="M1092" s="549"/>
      <c r="N1092" s="550"/>
      <c r="O1092" s="551"/>
    </row>
    <row r="1093" spans="1:15" s="167" customFormat="1" ht="11.25" x14ac:dyDescent="0.2">
      <c r="A1093" s="170"/>
      <c r="B1093" s="129"/>
      <c r="C1093" s="29"/>
      <c r="D1093" s="117"/>
      <c r="E1093" s="30"/>
      <c r="F1093" s="118"/>
      <c r="G1093" s="31"/>
      <c r="H1093" s="104"/>
      <c r="I1093" s="27"/>
      <c r="J1093" s="105"/>
      <c r="K1093" s="104"/>
      <c r="L1093" s="27"/>
      <c r="M1093" s="105"/>
      <c r="N1093" s="93"/>
      <c r="O1093" s="206"/>
    </row>
    <row r="1094" spans="1:15" s="23" customFormat="1" ht="22.5" x14ac:dyDescent="0.2">
      <c r="A1094" s="223" t="s">
        <v>78</v>
      </c>
      <c r="B1094" s="224">
        <v>72215</v>
      </c>
      <c r="C1094" s="225" t="s">
        <v>548</v>
      </c>
      <c r="D1094" s="226" t="s">
        <v>295</v>
      </c>
      <c r="E1094" s="225" t="s">
        <v>168</v>
      </c>
      <c r="F1094" s="515">
        <f>'MEMÓRIA DE CÁLCULO'!D223</f>
        <v>0.56700000000000006</v>
      </c>
      <c r="G1094" s="228"/>
      <c r="H1094" s="229">
        <f>ROUND(SUM(H1095),2)</f>
        <v>0</v>
      </c>
      <c r="I1094" s="229">
        <f>ROUND(SUM(I1095),2)</f>
        <v>22.3</v>
      </c>
      <c r="J1094" s="231">
        <f>(H1094+I1094)</f>
        <v>22.3</v>
      </c>
      <c r="K1094" s="229">
        <f>F1094*H1094</f>
        <v>0</v>
      </c>
      <c r="L1094" s="230">
        <f>F1094*I1094</f>
        <v>12.644100000000002</v>
      </c>
      <c r="M1094" s="231">
        <f>K1094+L1094</f>
        <v>12.644100000000002</v>
      </c>
      <c r="N1094" s="227">
        <f>M1094*$N$7</f>
        <v>3.4240222800000004</v>
      </c>
      <c r="O1094" s="227">
        <f>M1094+N1094</f>
        <v>16.068122280000001</v>
      </c>
    </row>
    <row r="1095" spans="1:15" s="552" customFormat="1" ht="15" customHeight="1" x14ac:dyDescent="0.25">
      <c r="A1095" s="543"/>
      <c r="B1095" s="544" t="s">
        <v>658</v>
      </c>
      <c r="C1095" s="513">
        <v>6111</v>
      </c>
      <c r="D1095" s="545" t="s">
        <v>670</v>
      </c>
      <c r="E1095" s="514" t="s">
        <v>42</v>
      </c>
      <c r="F1095" s="546">
        <v>2.5</v>
      </c>
      <c r="G1095" s="547">
        <v>8.92</v>
      </c>
      <c r="H1095" s="548"/>
      <c r="I1095" s="547">
        <f>F1095*G1095</f>
        <v>22.3</v>
      </c>
      <c r="J1095" s="549"/>
      <c r="K1095" s="548"/>
      <c r="L1095" s="547"/>
      <c r="M1095" s="549"/>
      <c r="N1095" s="550"/>
      <c r="O1095" s="551"/>
    </row>
    <row r="1096" spans="1:15" s="167" customFormat="1" ht="11.25" x14ac:dyDescent="0.2">
      <c r="A1096" s="170"/>
      <c r="B1096" s="129"/>
      <c r="C1096" s="29"/>
      <c r="D1096" s="117" t="s">
        <v>83</v>
      </c>
      <c r="E1096" s="30"/>
      <c r="F1096" s="118"/>
      <c r="G1096" s="31"/>
      <c r="H1096" s="104"/>
      <c r="I1096" s="27"/>
      <c r="J1096" s="105"/>
      <c r="K1096" s="104"/>
      <c r="L1096" s="27"/>
      <c r="M1096" s="105"/>
      <c r="N1096" s="92"/>
      <c r="O1096" s="169"/>
    </row>
    <row r="1097" spans="1:15" s="23" customFormat="1" ht="22.5" x14ac:dyDescent="0.2">
      <c r="A1097" s="223" t="s">
        <v>78</v>
      </c>
      <c r="B1097" s="224">
        <v>72223</v>
      </c>
      <c r="C1097" s="225" t="s">
        <v>302</v>
      </c>
      <c r="D1097" s="226" t="s">
        <v>225</v>
      </c>
      <c r="E1097" s="225" t="s">
        <v>58</v>
      </c>
      <c r="F1097" s="515">
        <f>'MEMÓRIA DE CÁLCULO'!D224</f>
        <v>131.19999999999999</v>
      </c>
      <c r="G1097" s="228"/>
      <c r="H1097" s="229">
        <f>ROUND(SUM(H1098:H1099),2)</f>
        <v>0</v>
      </c>
      <c r="I1097" s="229">
        <f>ROUND(SUM(I1098:I1099),2)</f>
        <v>9.91</v>
      </c>
      <c r="J1097" s="231">
        <f>(H1097+I1097)</f>
        <v>9.91</v>
      </c>
      <c r="K1097" s="229">
        <f>F1097*H1097</f>
        <v>0</v>
      </c>
      <c r="L1097" s="230">
        <f>F1097*I1097</f>
        <v>1300.192</v>
      </c>
      <c r="M1097" s="231">
        <f>K1097+L1097</f>
        <v>1300.192</v>
      </c>
      <c r="N1097" s="227">
        <f>M1097*$N$7</f>
        <v>352.09199359999997</v>
      </c>
      <c r="O1097" s="227">
        <f>M1097+N1097</f>
        <v>1652.2839936</v>
      </c>
    </row>
    <row r="1098" spans="1:15" s="552" customFormat="1" ht="15" customHeight="1" x14ac:dyDescent="0.25">
      <c r="A1098" s="543"/>
      <c r="B1098" s="544" t="s">
        <v>658</v>
      </c>
      <c r="C1098" s="513">
        <v>1214</v>
      </c>
      <c r="D1098" s="545" t="s">
        <v>680</v>
      </c>
      <c r="E1098" s="514" t="s">
        <v>42</v>
      </c>
      <c r="F1098" s="546">
        <v>0.8</v>
      </c>
      <c r="G1098" s="547">
        <v>12.39</v>
      </c>
      <c r="H1098" s="548"/>
      <c r="I1098" s="547">
        <f>F1098*G1098</f>
        <v>9.9120000000000008</v>
      </c>
      <c r="J1098" s="549"/>
      <c r="K1098" s="548"/>
      <c r="L1098" s="547"/>
      <c r="M1098" s="549"/>
      <c r="N1098" s="550"/>
      <c r="O1098" s="551"/>
    </row>
    <row r="1099" spans="1:15" s="167" customFormat="1" ht="11.25" x14ac:dyDescent="0.2">
      <c r="A1099" s="170"/>
      <c r="B1099" s="129"/>
      <c r="C1099" s="29"/>
      <c r="D1099" s="117" t="s">
        <v>83</v>
      </c>
      <c r="E1099" s="30"/>
      <c r="F1099" s="118"/>
      <c r="G1099" s="31"/>
      <c r="H1099" s="104"/>
      <c r="I1099" s="27"/>
      <c r="J1099" s="105"/>
      <c r="K1099" s="104"/>
      <c r="L1099" s="27"/>
      <c r="M1099" s="105"/>
      <c r="N1099" s="92"/>
      <c r="O1099" s="169"/>
    </row>
    <row r="1100" spans="1:15" s="23" customFormat="1" ht="22.5" x14ac:dyDescent="0.2">
      <c r="A1100" s="223" t="s">
        <v>79</v>
      </c>
      <c r="B1100" s="224" t="s">
        <v>496</v>
      </c>
      <c r="C1100" s="225" t="s">
        <v>549</v>
      </c>
      <c r="D1100" s="226" t="s">
        <v>497</v>
      </c>
      <c r="E1100" s="225" t="s">
        <v>81</v>
      </c>
      <c r="F1100" s="515">
        <f>F1280</f>
        <v>2</v>
      </c>
      <c r="G1100" s="228"/>
      <c r="H1100" s="229">
        <f>ROUND(SUM(H1101:H1101),2)</f>
        <v>0</v>
      </c>
      <c r="I1100" s="230">
        <f>ROUND(SUM(I1101:I1101),2)</f>
        <v>65.62</v>
      </c>
      <c r="J1100" s="231">
        <f>(H1100+I1100)</f>
        <v>65.62</v>
      </c>
      <c r="K1100" s="229">
        <f>F1100*H1100</f>
        <v>0</v>
      </c>
      <c r="L1100" s="230">
        <f>F1100*I1100</f>
        <v>131.24</v>
      </c>
      <c r="M1100" s="231">
        <f>K1100+L1100</f>
        <v>131.24</v>
      </c>
      <c r="N1100" s="227">
        <f>M1100*$N$7</f>
        <v>35.539791999999998</v>
      </c>
      <c r="O1100" s="227">
        <f>M1100+N1100</f>
        <v>166.77979200000001</v>
      </c>
    </row>
    <row r="1101" spans="1:15" s="552" customFormat="1" ht="15" customHeight="1" x14ac:dyDescent="0.25">
      <c r="A1101" s="543"/>
      <c r="B1101" s="544"/>
      <c r="C1101" s="513"/>
      <c r="D1101" s="545" t="str">
        <f>D1100</f>
        <v>Furo em concreto com coroas diamantadas, utilizando perfuratriz elétrica Ø 5" a 5 1/4" profundidade 40 cm</v>
      </c>
      <c r="E1101" s="514" t="s">
        <v>81</v>
      </c>
      <c r="F1101" s="546">
        <v>1</v>
      </c>
      <c r="G1101" s="547">
        <v>65.62</v>
      </c>
      <c r="H1101" s="548"/>
      <c r="I1101" s="547">
        <f>F1101*G1101</f>
        <v>65.62</v>
      </c>
      <c r="J1101" s="549"/>
      <c r="K1101" s="548"/>
      <c r="L1101" s="547"/>
      <c r="M1101" s="549"/>
      <c r="N1101" s="550"/>
      <c r="O1101" s="551"/>
    </row>
    <row r="1102" spans="1:15" s="167" customFormat="1" ht="11.25" x14ac:dyDescent="0.2">
      <c r="A1102" s="170"/>
      <c r="B1102" s="129"/>
      <c r="C1102" s="29"/>
      <c r="D1102" s="117" t="s">
        <v>83</v>
      </c>
      <c r="E1102" s="30"/>
      <c r="F1102" s="476"/>
      <c r="G1102" s="477"/>
      <c r="H1102" s="478"/>
      <c r="I1102" s="479"/>
      <c r="J1102" s="480"/>
      <c r="K1102" s="478"/>
      <c r="L1102" s="479"/>
      <c r="M1102" s="480"/>
      <c r="N1102" s="93"/>
      <c r="O1102" s="206"/>
    </row>
    <row r="1103" spans="1:15" s="23" customFormat="1" ht="22.5" x14ac:dyDescent="0.2">
      <c r="A1103" s="223" t="s">
        <v>79</v>
      </c>
      <c r="B1103" s="224" t="s">
        <v>498</v>
      </c>
      <c r="C1103" s="225" t="s">
        <v>550</v>
      </c>
      <c r="D1103" s="226" t="s">
        <v>499</v>
      </c>
      <c r="E1103" s="225" t="s">
        <v>81</v>
      </c>
      <c r="F1103" s="515">
        <f>F1287</f>
        <v>6</v>
      </c>
      <c r="G1103" s="228"/>
      <c r="H1103" s="229">
        <f>ROUND(SUM(H1104:H1104),2)</f>
        <v>0</v>
      </c>
      <c r="I1103" s="230">
        <f>ROUND(SUM(I1104:I1104),2)</f>
        <v>15.15</v>
      </c>
      <c r="J1103" s="231">
        <f>(H1103+I1103)</f>
        <v>15.15</v>
      </c>
      <c r="K1103" s="229">
        <f>F1103*H1103</f>
        <v>0</v>
      </c>
      <c r="L1103" s="230">
        <f>F1103*I1103</f>
        <v>90.9</v>
      </c>
      <c r="M1103" s="231">
        <f>K1103+L1103</f>
        <v>90.9</v>
      </c>
      <c r="N1103" s="227">
        <f>M1103*$N$7</f>
        <v>24.61572</v>
      </c>
      <c r="O1103" s="227">
        <f>M1103+N1103</f>
        <v>115.51572</v>
      </c>
    </row>
    <row r="1104" spans="1:15" s="552" customFormat="1" ht="15" customHeight="1" x14ac:dyDescent="0.25">
      <c r="A1104" s="543"/>
      <c r="B1104" s="544"/>
      <c r="C1104" s="513"/>
      <c r="D1104" s="545" t="str">
        <f>D1103</f>
        <v>Furo em concreto com broca de widia, utilizando martele elétrico Ø 1 1/2" profundidade 15 cm</v>
      </c>
      <c r="E1104" s="514" t="s">
        <v>81</v>
      </c>
      <c r="F1104" s="546">
        <v>1</v>
      </c>
      <c r="G1104" s="547">
        <v>15.15</v>
      </c>
      <c r="H1104" s="548"/>
      <c r="I1104" s="547">
        <f>F1104*G1104</f>
        <v>15.15</v>
      </c>
      <c r="J1104" s="549"/>
      <c r="K1104" s="548"/>
      <c r="L1104" s="547"/>
      <c r="M1104" s="549"/>
      <c r="N1104" s="550"/>
      <c r="O1104" s="551"/>
    </row>
    <row r="1105" spans="1:15" s="167" customFormat="1" ht="11.25" x14ac:dyDescent="0.2">
      <c r="A1105" s="170"/>
      <c r="B1105" s="129"/>
      <c r="C1105" s="29"/>
      <c r="D1105" s="117" t="s">
        <v>83</v>
      </c>
      <c r="E1105" s="30"/>
      <c r="F1105" s="476"/>
      <c r="G1105" s="477"/>
      <c r="H1105" s="478"/>
      <c r="I1105" s="479"/>
      <c r="J1105" s="480"/>
      <c r="K1105" s="478"/>
      <c r="L1105" s="479"/>
      <c r="M1105" s="480"/>
      <c r="N1105" s="93"/>
      <c r="O1105" s="206"/>
    </row>
    <row r="1106" spans="1:15" s="167" customFormat="1" ht="11.25" x14ac:dyDescent="0.2">
      <c r="A1106" s="170"/>
      <c r="B1106" s="129"/>
      <c r="C1106" s="29"/>
      <c r="D1106" s="117" t="s">
        <v>83</v>
      </c>
      <c r="E1106" s="30"/>
      <c r="F1106" s="118"/>
      <c r="G1106" s="31"/>
      <c r="H1106" s="104"/>
      <c r="I1106" s="27"/>
      <c r="J1106" s="105"/>
      <c r="K1106" s="104"/>
      <c r="L1106" s="27"/>
      <c r="M1106" s="105"/>
      <c r="N1106" s="92"/>
      <c r="O1106" s="169"/>
    </row>
    <row r="1107" spans="1:15" s="266" customFormat="1" ht="12.75" x14ac:dyDescent="0.2">
      <c r="A1107" s="516"/>
      <c r="B1107" s="517"/>
      <c r="C1107" s="518" t="s">
        <v>451</v>
      </c>
      <c r="D1107" s="519" t="s">
        <v>100</v>
      </c>
      <c r="E1107" s="520"/>
      <c r="F1107" s="519"/>
      <c r="G1107" s="520"/>
      <c r="H1107" s="521"/>
      <c r="I1107" s="522"/>
      <c r="J1107" s="523"/>
      <c r="K1107" s="521"/>
      <c r="L1107" s="522"/>
      <c r="M1107" s="523"/>
      <c r="N1107" s="524"/>
      <c r="O1107" s="525">
        <f>SUM(O1111:O1141)</f>
        <v>54.164139263999992</v>
      </c>
    </row>
    <row r="1108" spans="1:15" s="23" customFormat="1" ht="14.25" x14ac:dyDescent="0.2">
      <c r="A1108" s="134"/>
      <c r="B1108" s="129"/>
      <c r="C1108" s="29"/>
      <c r="D1108" s="117" t="s">
        <v>83</v>
      </c>
      <c r="E1108" s="30"/>
      <c r="F1108" s="118"/>
      <c r="G1108" s="31"/>
      <c r="H1108" s="104"/>
      <c r="I1108" s="27"/>
      <c r="J1108" s="105"/>
      <c r="K1108" s="104"/>
      <c r="L1108" s="27"/>
      <c r="M1108" s="105"/>
      <c r="N1108" s="92"/>
      <c r="O1108" s="92"/>
    </row>
    <row r="1109" spans="1:15" s="23" customFormat="1" ht="14.25" x14ac:dyDescent="0.2">
      <c r="A1109" s="135"/>
      <c r="B1109" s="120"/>
      <c r="C1109" s="122"/>
      <c r="D1109" s="124" t="s">
        <v>172</v>
      </c>
      <c r="E1109" s="122"/>
      <c r="F1109" s="90"/>
      <c r="G1109" s="116"/>
      <c r="H1109" s="102"/>
      <c r="I1109" s="35"/>
      <c r="J1109" s="103"/>
      <c r="K1109" s="102"/>
      <c r="L1109" s="35"/>
      <c r="M1109" s="103"/>
      <c r="N1109" s="90"/>
      <c r="O1109" s="90"/>
    </row>
    <row r="1110" spans="1:15" s="23" customFormat="1" ht="14.25" x14ac:dyDescent="0.2">
      <c r="A1110" s="134"/>
      <c r="B1110" s="129"/>
      <c r="C1110" s="29"/>
      <c r="D1110" s="117" t="s">
        <v>83</v>
      </c>
      <c r="E1110" s="30"/>
      <c r="F1110" s="118"/>
      <c r="G1110" s="31"/>
      <c r="H1110" s="104"/>
      <c r="I1110" s="27"/>
      <c r="J1110" s="105"/>
      <c r="K1110" s="104"/>
      <c r="L1110" s="27"/>
      <c r="M1110" s="105"/>
      <c r="N1110" s="92"/>
      <c r="O1110" s="92"/>
    </row>
    <row r="1111" spans="1:15" s="23" customFormat="1" ht="33.75" x14ac:dyDescent="0.2">
      <c r="A1111" s="223" t="s">
        <v>78</v>
      </c>
      <c r="B1111" s="224">
        <v>84215</v>
      </c>
      <c r="C1111" s="225" t="s">
        <v>818</v>
      </c>
      <c r="D1111" s="226" t="s">
        <v>753</v>
      </c>
      <c r="E1111" s="225" t="s">
        <v>94</v>
      </c>
      <c r="F1111" s="515">
        <f>'MEMÓRIA DE CÁLCULO'!I258</f>
        <v>0.48</v>
      </c>
      <c r="G1111" s="228"/>
      <c r="H1111" s="229">
        <f>ROUND(SUM(H1112:H1119),2)</f>
        <v>13.68</v>
      </c>
      <c r="I1111" s="229">
        <f>ROUND(SUM(I1112:I1119),2)</f>
        <v>13.61</v>
      </c>
      <c r="J1111" s="231">
        <f>(H1111+I1111)</f>
        <v>27.29</v>
      </c>
      <c r="K1111" s="229">
        <f>F1111*H1111</f>
        <v>6.5663999999999998</v>
      </c>
      <c r="L1111" s="230">
        <f>F1111*I1111</f>
        <v>6.5327999999999991</v>
      </c>
      <c r="M1111" s="231">
        <f>K1111+L1111</f>
        <v>13.0992</v>
      </c>
      <c r="N1111" s="227">
        <f>M1111*$N$7</f>
        <v>3.5472633599999996</v>
      </c>
      <c r="O1111" s="227">
        <f>M1111+N1111</f>
        <v>16.646463359999998</v>
      </c>
    </row>
    <row r="1112" spans="1:15" s="552" customFormat="1" ht="15" customHeight="1" x14ac:dyDescent="0.25">
      <c r="A1112" s="543"/>
      <c r="B1112" s="544" t="s">
        <v>658</v>
      </c>
      <c r="C1112" s="513">
        <v>6117</v>
      </c>
      <c r="D1112" s="545" t="s">
        <v>682</v>
      </c>
      <c r="E1112" s="514" t="s">
        <v>42</v>
      </c>
      <c r="F1112" s="546">
        <v>0.23</v>
      </c>
      <c r="G1112" s="547">
        <v>9.4499999999999993</v>
      </c>
      <c r="H1112" s="548"/>
      <c r="I1112" s="547">
        <f>F1112*G1112</f>
        <v>2.1734999999999998</v>
      </c>
      <c r="J1112" s="549"/>
      <c r="K1112" s="548"/>
      <c r="L1112" s="547"/>
      <c r="M1112" s="549"/>
      <c r="N1112" s="550"/>
      <c r="O1112" s="551"/>
    </row>
    <row r="1113" spans="1:15" s="552" customFormat="1" ht="15" customHeight="1" x14ac:dyDescent="0.25">
      <c r="A1113" s="543"/>
      <c r="B1113" s="544" t="s">
        <v>658</v>
      </c>
      <c r="C1113" s="513">
        <v>1213</v>
      </c>
      <c r="D1113" s="545" t="s">
        <v>676</v>
      </c>
      <c r="E1113" s="514" t="s">
        <v>42</v>
      </c>
      <c r="F1113" s="546">
        <v>0.91</v>
      </c>
      <c r="G1113" s="547">
        <v>12.57</v>
      </c>
      <c r="H1113" s="548"/>
      <c r="I1113" s="547">
        <f>F1113*G1113</f>
        <v>11.438700000000001</v>
      </c>
      <c r="J1113" s="549"/>
      <c r="K1113" s="548"/>
      <c r="L1113" s="547"/>
      <c r="M1113" s="549"/>
      <c r="N1113" s="550"/>
      <c r="O1113" s="551"/>
    </row>
    <row r="1114" spans="1:15" s="552" customFormat="1" ht="15" customHeight="1" x14ac:dyDescent="0.25">
      <c r="A1114" s="543"/>
      <c r="B1114" s="544" t="s">
        <v>658</v>
      </c>
      <c r="C1114" s="513">
        <v>1357</v>
      </c>
      <c r="D1114" s="545" t="s">
        <v>683</v>
      </c>
      <c r="E1114" s="514" t="s">
        <v>684</v>
      </c>
      <c r="F1114" s="546">
        <v>0.17419999999999999</v>
      </c>
      <c r="G1114" s="547">
        <v>28.54</v>
      </c>
      <c r="H1114" s="548">
        <f t="shared" ref="H1114:H1115" si="146">F1114*G1114</f>
        <v>4.9716679999999993</v>
      </c>
      <c r="I1114" s="547"/>
      <c r="J1114" s="549"/>
      <c r="K1114" s="548"/>
      <c r="L1114" s="547"/>
      <c r="M1114" s="549"/>
      <c r="N1114" s="550"/>
      <c r="O1114" s="551"/>
    </row>
    <row r="1115" spans="1:15" s="552" customFormat="1" ht="15" customHeight="1" x14ac:dyDescent="0.25">
      <c r="A1115" s="543"/>
      <c r="B1115" s="544" t="s">
        <v>658</v>
      </c>
      <c r="C1115" s="513">
        <v>2692</v>
      </c>
      <c r="D1115" s="545" t="s">
        <v>685</v>
      </c>
      <c r="E1115" s="514" t="s">
        <v>686</v>
      </c>
      <c r="F1115" s="546">
        <v>6.0000000000000001E-3</v>
      </c>
      <c r="G1115" s="547">
        <v>9.82</v>
      </c>
      <c r="H1115" s="548">
        <f t="shared" si="146"/>
        <v>5.892E-2</v>
      </c>
      <c r="I1115" s="547"/>
      <c r="J1115" s="549"/>
      <c r="K1115" s="548"/>
      <c r="L1115" s="547"/>
      <c r="M1115" s="549"/>
      <c r="N1115" s="550"/>
      <c r="O1115" s="551"/>
    </row>
    <row r="1116" spans="1:15" s="552" customFormat="1" ht="15" customHeight="1" x14ac:dyDescent="0.25">
      <c r="A1116" s="543"/>
      <c r="B1116" s="544" t="s">
        <v>658</v>
      </c>
      <c r="C1116" s="513">
        <v>4491</v>
      </c>
      <c r="D1116" s="545" t="s">
        <v>659</v>
      </c>
      <c r="E1116" s="514" t="s">
        <v>98</v>
      </c>
      <c r="F1116" s="546">
        <v>1.04</v>
      </c>
      <c r="G1116" s="547">
        <v>3.25</v>
      </c>
      <c r="H1116" s="548">
        <f>F1116*G1116</f>
        <v>3.38</v>
      </c>
      <c r="I1116" s="547"/>
      <c r="J1116" s="549"/>
      <c r="K1116" s="548"/>
      <c r="L1116" s="547"/>
      <c r="M1116" s="549"/>
      <c r="N1116" s="550"/>
      <c r="O1116" s="551"/>
    </row>
    <row r="1117" spans="1:15" s="552" customFormat="1" ht="15" customHeight="1" x14ac:dyDescent="0.25">
      <c r="A1117" s="543"/>
      <c r="B1117" s="544" t="s">
        <v>657</v>
      </c>
      <c r="C1117" s="513">
        <v>4506</v>
      </c>
      <c r="D1117" s="545" t="s">
        <v>687</v>
      </c>
      <c r="E1117" s="514" t="s">
        <v>98</v>
      </c>
      <c r="F1117" s="546">
        <v>0.55000000000000004</v>
      </c>
      <c r="G1117" s="547">
        <v>2.0099999999999998</v>
      </c>
      <c r="H1117" s="548">
        <f>F1117*G1117</f>
        <v>1.1054999999999999</v>
      </c>
      <c r="I1117" s="547"/>
      <c r="J1117" s="549"/>
      <c r="K1117" s="548"/>
      <c r="L1117" s="547"/>
      <c r="M1117" s="549"/>
      <c r="N1117" s="550"/>
      <c r="O1117" s="551"/>
    </row>
    <row r="1118" spans="1:15" s="552" customFormat="1" ht="15" customHeight="1" x14ac:dyDescent="0.25">
      <c r="A1118" s="543"/>
      <c r="B1118" s="544" t="s">
        <v>658</v>
      </c>
      <c r="C1118" s="513">
        <v>5068</v>
      </c>
      <c r="D1118" s="545" t="s">
        <v>688</v>
      </c>
      <c r="E1118" s="514" t="s">
        <v>97</v>
      </c>
      <c r="F1118" s="546">
        <v>0.27</v>
      </c>
      <c r="G1118" s="547">
        <v>6.99</v>
      </c>
      <c r="H1118" s="548">
        <f>F1118*G1118</f>
        <v>1.8873000000000002</v>
      </c>
      <c r="I1118" s="547"/>
      <c r="J1118" s="549"/>
      <c r="K1118" s="548"/>
      <c r="L1118" s="547"/>
      <c r="M1118" s="549"/>
      <c r="N1118" s="550"/>
      <c r="O1118" s="551"/>
    </row>
    <row r="1119" spans="1:15" s="552" customFormat="1" ht="15" customHeight="1" x14ac:dyDescent="0.25">
      <c r="A1119" s="543"/>
      <c r="B1119" s="544" t="s">
        <v>658</v>
      </c>
      <c r="C1119" s="513">
        <v>6189</v>
      </c>
      <c r="D1119" s="545" t="s">
        <v>689</v>
      </c>
      <c r="E1119" s="514" t="s">
        <v>98</v>
      </c>
      <c r="F1119" s="546">
        <v>0.31</v>
      </c>
      <c r="G1119" s="547">
        <v>7.33</v>
      </c>
      <c r="H1119" s="548">
        <f>F1119*G1119</f>
        <v>2.2723</v>
      </c>
      <c r="I1119" s="547"/>
      <c r="J1119" s="549"/>
      <c r="K1119" s="548"/>
      <c r="L1119" s="547"/>
      <c r="M1119" s="549"/>
      <c r="N1119" s="550"/>
      <c r="O1119" s="551"/>
    </row>
    <row r="1120" spans="1:15" s="189" customFormat="1" ht="11.25" x14ac:dyDescent="0.25">
      <c r="A1120" s="173"/>
      <c r="C1120" s="175"/>
      <c r="D1120" s="176"/>
      <c r="E1120" s="177"/>
      <c r="F1120" s="190"/>
      <c r="G1120" s="192"/>
      <c r="H1120" s="193"/>
      <c r="I1120" s="182"/>
      <c r="J1120" s="183"/>
      <c r="K1120" s="184"/>
      <c r="L1120" s="185"/>
      <c r="M1120" s="186"/>
      <c r="N1120" s="187"/>
      <c r="O1120" s="188"/>
    </row>
    <row r="1121" spans="1:15" s="23" customFormat="1" ht="14.25" x14ac:dyDescent="0.2">
      <c r="A1121" s="223" t="s">
        <v>78</v>
      </c>
      <c r="B1121" s="224" t="s">
        <v>690</v>
      </c>
      <c r="C1121" s="225" t="s">
        <v>819</v>
      </c>
      <c r="D1121" s="226" t="s">
        <v>754</v>
      </c>
      <c r="E1121" s="225" t="s">
        <v>95</v>
      </c>
      <c r="F1121" s="515">
        <f>'MEMÓRIA DE CÁLCULO'!H258</f>
        <v>3.5999999999999997E-2</v>
      </c>
      <c r="G1121" s="228"/>
      <c r="H1121" s="229">
        <f>ROUND(SUM(H1122:H1129),2)</f>
        <v>266.02</v>
      </c>
      <c r="I1121" s="229">
        <f>ROUND(SUM(I1122:I1129),2)</f>
        <v>46.21</v>
      </c>
      <c r="J1121" s="231">
        <f>(H1121+I1121)</f>
        <v>312.22999999999996</v>
      </c>
      <c r="K1121" s="229">
        <f>F1121*H1121</f>
        <v>9.5767199999999981</v>
      </c>
      <c r="L1121" s="230">
        <f>F1121*I1121</f>
        <v>1.6635599999999999</v>
      </c>
      <c r="M1121" s="231">
        <f>K1121+L1121</f>
        <v>11.240279999999998</v>
      </c>
      <c r="N1121" s="227">
        <f>M1121*$N$7</f>
        <v>3.0438678239999994</v>
      </c>
      <c r="O1121" s="227">
        <f>M1121+N1121</f>
        <v>14.284147823999998</v>
      </c>
    </row>
    <row r="1122" spans="1:15" s="552" customFormat="1" ht="15" customHeight="1" x14ac:dyDescent="0.25">
      <c r="A1122" s="543"/>
      <c r="B1122" s="544" t="s">
        <v>664</v>
      </c>
      <c r="C1122" s="513">
        <v>88291</v>
      </c>
      <c r="D1122" s="545" t="s">
        <v>691</v>
      </c>
      <c r="E1122" s="514" t="s">
        <v>42</v>
      </c>
      <c r="F1122" s="546">
        <v>1.8335999999999999</v>
      </c>
      <c r="G1122" s="547">
        <v>9.4499999999999993</v>
      </c>
      <c r="H1122" s="548"/>
      <c r="I1122" s="547">
        <f>F1122*G1122</f>
        <v>17.327519999999996</v>
      </c>
      <c r="J1122" s="549"/>
      <c r="K1122" s="548"/>
      <c r="L1122" s="547"/>
      <c r="M1122" s="549"/>
      <c r="N1122" s="550"/>
      <c r="O1122" s="551"/>
    </row>
    <row r="1123" spans="1:15" s="552" customFormat="1" ht="15" customHeight="1" x14ac:dyDescent="0.25">
      <c r="A1123" s="543"/>
      <c r="B1123" s="544" t="s">
        <v>658</v>
      </c>
      <c r="C1123" s="513">
        <v>6111</v>
      </c>
      <c r="D1123" s="545" t="s">
        <v>670</v>
      </c>
      <c r="E1123" s="514" t="s">
        <v>42</v>
      </c>
      <c r="F1123" s="546">
        <v>3.2378</v>
      </c>
      <c r="G1123" s="547">
        <v>8.92</v>
      </c>
      <c r="H1123" s="548"/>
      <c r="I1123" s="547">
        <f>F1123*G1123</f>
        <v>28.881176</v>
      </c>
      <c r="J1123" s="549"/>
      <c r="K1123" s="548"/>
      <c r="L1123" s="547"/>
      <c r="M1123" s="549"/>
      <c r="N1123" s="550"/>
      <c r="O1123" s="551"/>
    </row>
    <row r="1124" spans="1:15" s="552" customFormat="1" ht="15" customHeight="1" x14ac:dyDescent="0.25">
      <c r="A1124" s="543"/>
      <c r="B1124" s="544" t="s">
        <v>657</v>
      </c>
      <c r="C1124" s="513">
        <v>370</v>
      </c>
      <c r="D1124" s="545" t="s">
        <v>692</v>
      </c>
      <c r="E1124" s="514" t="s">
        <v>95</v>
      </c>
      <c r="F1124" s="546">
        <v>0.8669</v>
      </c>
      <c r="G1124" s="547">
        <v>56.58</v>
      </c>
      <c r="H1124" s="548">
        <f t="shared" ref="H1124:H1125" si="147">F1124*G1124</f>
        <v>49.049202000000001</v>
      </c>
      <c r="I1124" s="547"/>
      <c r="J1124" s="549"/>
      <c r="K1124" s="548"/>
      <c r="L1124" s="547"/>
      <c r="M1124" s="549"/>
      <c r="N1124" s="550"/>
      <c r="O1124" s="551"/>
    </row>
    <row r="1125" spans="1:15" s="552" customFormat="1" ht="15" customHeight="1" x14ac:dyDescent="0.25">
      <c r="A1125" s="543"/>
      <c r="B1125" s="544" t="s">
        <v>658</v>
      </c>
      <c r="C1125" s="513">
        <v>1379</v>
      </c>
      <c r="D1125" s="545" t="s">
        <v>693</v>
      </c>
      <c r="E1125" s="514" t="s">
        <v>694</v>
      </c>
      <c r="F1125" s="546">
        <v>349</v>
      </c>
      <c r="G1125" s="547">
        <v>0.5</v>
      </c>
      <c r="H1125" s="548">
        <f t="shared" si="147"/>
        <v>174.5</v>
      </c>
      <c r="I1125" s="547"/>
      <c r="J1125" s="549"/>
      <c r="K1125" s="548"/>
      <c r="L1125" s="547"/>
      <c r="M1125" s="549"/>
      <c r="N1125" s="550"/>
      <c r="O1125" s="551"/>
    </row>
    <row r="1126" spans="1:15" s="552" customFormat="1" ht="15" customHeight="1" x14ac:dyDescent="0.25">
      <c r="A1126" s="543"/>
      <c r="B1126" s="544" t="s">
        <v>657</v>
      </c>
      <c r="C1126" s="513">
        <v>4718</v>
      </c>
      <c r="D1126" s="545" t="s">
        <v>695</v>
      </c>
      <c r="E1126" s="514" t="s">
        <v>696</v>
      </c>
      <c r="F1126" s="546">
        <v>0.20899999999999999</v>
      </c>
      <c r="G1126" s="547">
        <v>42.13</v>
      </c>
      <c r="H1126" s="548">
        <f>F1126*G1126</f>
        <v>8.8051700000000004</v>
      </c>
      <c r="I1126" s="547"/>
      <c r="J1126" s="549"/>
      <c r="K1126" s="548"/>
      <c r="L1126" s="547"/>
      <c r="M1126" s="549"/>
      <c r="N1126" s="550"/>
      <c r="O1126" s="551"/>
    </row>
    <row r="1127" spans="1:15" s="552" customFormat="1" ht="15" customHeight="1" x14ac:dyDescent="0.25">
      <c r="A1127" s="543"/>
      <c r="B1127" s="544" t="s">
        <v>658</v>
      </c>
      <c r="C1127" s="513">
        <v>4721</v>
      </c>
      <c r="D1127" s="545" t="s">
        <v>697</v>
      </c>
      <c r="E1127" s="514" t="s">
        <v>95</v>
      </c>
      <c r="F1127" s="546">
        <v>0.627</v>
      </c>
      <c r="G1127" s="547">
        <v>46.94</v>
      </c>
      <c r="H1127" s="548">
        <f>F1127*G1127</f>
        <v>29.431379999999997</v>
      </c>
      <c r="I1127" s="547"/>
      <c r="J1127" s="549"/>
      <c r="K1127" s="548"/>
      <c r="L1127" s="547"/>
      <c r="M1127" s="549"/>
      <c r="N1127" s="550"/>
      <c r="O1127" s="551"/>
    </row>
    <row r="1128" spans="1:15" s="552" customFormat="1" ht="15" customHeight="1" x14ac:dyDescent="0.25">
      <c r="A1128" s="543"/>
      <c r="B1128" s="544" t="s">
        <v>657</v>
      </c>
      <c r="C1128" s="513">
        <v>10533</v>
      </c>
      <c r="D1128" s="545" t="s">
        <v>698</v>
      </c>
      <c r="E1128" s="514" t="s">
        <v>667</v>
      </c>
      <c r="F1128" s="546">
        <v>1.8335999999999999</v>
      </c>
      <c r="G1128" s="547">
        <v>2.31</v>
      </c>
      <c r="H1128" s="548">
        <f>F1128*G1128</f>
        <v>4.2356160000000003</v>
      </c>
      <c r="I1128" s="547"/>
      <c r="J1128" s="549"/>
      <c r="K1128" s="548"/>
      <c r="L1128" s="547"/>
      <c r="M1128" s="549"/>
      <c r="N1128" s="550"/>
      <c r="O1128" s="551"/>
    </row>
    <row r="1129" spans="1:15" s="23" customFormat="1" ht="14.25" x14ac:dyDescent="0.2">
      <c r="A1129" s="134"/>
      <c r="B1129" s="129"/>
      <c r="C1129" s="29"/>
      <c r="D1129" s="117" t="s">
        <v>83</v>
      </c>
      <c r="E1129" s="30"/>
      <c r="F1129" s="118"/>
      <c r="G1129" s="31"/>
      <c r="H1129" s="104"/>
      <c r="I1129" s="27"/>
      <c r="J1129" s="105"/>
      <c r="K1129" s="104"/>
      <c r="L1129" s="27"/>
      <c r="M1129" s="105"/>
      <c r="N1129" s="92"/>
      <c r="O1129" s="92"/>
    </row>
    <row r="1130" spans="1:15" s="23" customFormat="1" ht="14.25" x14ac:dyDescent="0.2">
      <c r="A1130" s="223" t="s">
        <v>78</v>
      </c>
      <c r="B1130" s="224" t="s">
        <v>699</v>
      </c>
      <c r="C1130" s="225" t="s">
        <v>820</v>
      </c>
      <c r="D1130" s="226" t="s">
        <v>755</v>
      </c>
      <c r="E1130" s="225" t="s">
        <v>95</v>
      </c>
      <c r="F1130" s="515">
        <f>F1121</f>
        <v>3.5999999999999997E-2</v>
      </c>
      <c r="G1130" s="228"/>
      <c r="H1130" s="229">
        <f>ROUND(SUM(H1131:H1133),2)</f>
        <v>0.33</v>
      </c>
      <c r="I1130" s="229">
        <f>ROUND(SUM(I1131:I1133),2)</f>
        <v>60.88</v>
      </c>
      <c r="J1130" s="231">
        <f>(H1130+I1130)</f>
        <v>61.21</v>
      </c>
      <c r="K1130" s="229">
        <f>F1130*H1130</f>
        <v>1.188E-2</v>
      </c>
      <c r="L1130" s="230">
        <f>F1130*I1130</f>
        <v>2.1916799999999999</v>
      </c>
      <c r="M1130" s="231">
        <f>K1130+L1130</f>
        <v>2.20356</v>
      </c>
      <c r="N1130" s="227">
        <f>M1130*$N$7</f>
        <v>0.59672404800000001</v>
      </c>
      <c r="O1130" s="227">
        <f>M1130+N1130</f>
        <v>2.800284048</v>
      </c>
    </row>
    <row r="1131" spans="1:15" s="552" customFormat="1" ht="15" customHeight="1" x14ac:dyDescent="0.25">
      <c r="A1131" s="543"/>
      <c r="B1131" s="544" t="s">
        <v>658</v>
      </c>
      <c r="C1131" s="513">
        <v>4750</v>
      </c>
      <c r="D1131" s="545" t="s">
        <v>679</v>
      </c>
      <c r="E1131" s="514" t="s">
        <v>42</v>
      </c>
      <c r="F1131" s="546">
        <v>1.65</v>
      </c>
      <c r="G1131" s="547">
        <v>12.57</v>
      </c>
      <c r="H1131" s="548"/>
      <c r="I1131" s="547">
        <f>F1131*G1131</f>
        <v>20.740500000000001</v>
      </c>
      <c r="J1131" s="549"/>
      <c r="K1131" s="548"/>
      <c r="L1131" s="547"/>
      <c r="M1131" s="549"/>
      <c r="N1131" s="550"/>
      <c r="O1131" s="551"/>
    </row>
    <row r="1132" spans="1:15" s="552" customFormat="1" ht="15" customHeight="1" x14ac:dyDescent="0.25">
      <c r="A1132" s="543"/>
      <c r="B1132" s="544" t="s">
        <v>658</v>
      </c>
      <c r="C1132" s="513">
        <v>6111</v>
      </c>
      <c r="D1132" s="545" t="s">
        <v>670</v>
      </c>
      <c r="E1132" s="514" t="s">
        <v>42</v>
      </c>
      <c r="F1132" s="546">
        <v>4.5</v>
      </c>
      <c r="G1132" s="547">
        <v>8.92</v>
      </c>
      <c r="H1132" s="548"/>
      <c r="I1132" s="547">
        <f>F1132*G1132</f>
        <v>40.14</v>
      </c>
      <c r="J1132" s="549"/>
      <c r="K1132" s="548"/>
      <c r="L1132" s="547"/>
      <c r="M1132" s="549"/>
      <c r="N1132" s="550"/>
      <c r="O1132" s="551"/>
    </row>
    <row r="1133" spans="1:15" s="552" customFormat="1" ht="15" customHeight="1" x14ac:dyDescent="0.25">
      <c r="A1133" s="543"/>
      <c r="B1133" s="544" t="s">
        <v>658</v>
      </c>
      <c r="C1133" s="513">
        <v>10485</v>
      </c>
      <c r="D1133" s="545" t="s">
        <v>700</v>
      </c>
      <c r="E1133" s="514" t="s">
        <v>91</v>
      </c>
      <c r="F1133" s="546">
        <v>0.3</v>
      </c>
      <c r="G1133" s="547">
        <v>1.0900000000000001</v>
      </c>
      <c r="H1133" s="548">
        <f t="shared" ref="H1133" si="148">F1133*G1133</f>
        <v>0.32700000000000001</v>
      </c>
      <c r="I1133" s="547"/>
      <c r="J1133" s="549"/>
      <c r="K1133" s="548"/>
      <c r="L1133" s="547"/>
      <c r="M1133" s="549"/>
      <c r="N1133" s="550"/>
      <c r="O1133" s="551"/>
    </row>
    <row r="1134" spans="1:15" s="23" customFormat="1" ht="14.25" x14ac:dyDescent="0.2">
      <c r="A1134" s="134"/>
      <c r="B1134" s="129"/>
      <c r="C1134" s="29"/>
      <c r="D1134" s="117" t="s">
        <v>83</v>
      </c>
      <c r="E1134" s="30"/>
      <c r="F1134" s="118"/>
      <c r="G1134" s="31"/>
      <c r="H1134" s="104"/>
      <c r="I1134" s="27"/>
      <c r="J1134" s="105"/>
      <c r="K1134" s="104"/>
      <c r="L1134" s="27"/>
      <c r="M1134" s="105"/>
      <c r="N1134" s="92"/>
      <c r="O1134" s="92"/>
    </row>
    <row r="1135" spans="1:15" s="23" customFormat="1" ht="14.25" x14ac:dyDescent="0.2">
      <c r="A1135" s="223" t="s">
        <v>78</v>
      </c>
      <c r="B1135" s="224" t="s">
        <v>701</v>
      </c>
      <c r="C1135" s="225" t="s">
        <v>821</v>
      </c>
      <c r="D1135" s="226" t="s">
        <v>756</v>
      </c>
      <c r="E1135" s="225" t="s">
        <v>97</v>
      </c>
      <c r="F1135" s="515">
        <f>F1130</f>
        <v>3.5999999999999997E-2</v>
      </c>
      <c r="G1135" s="228"/>
      <c r="H1135" s="229">
        <f>ROUND(SUM(H1136:H1140),2)</f>
        <v>296.20999999999998</v>
      </c>
      <c r="I1135" s="229">
        <f>ROUND(SUM(I1136:I1140),2)</f>
        <v>150.43</v>
      </c>
      <c r="J1135" s="231">
        <f>(H1135+I1135)</f>
        <v>446.64</v>
      </c>
      <c r="K1135" s="229">
        <f>F1135*H1135</f>
        <v>10.663559999999999</v>
      </c>
      <c r="L1135" s="230">
        <f>F1135*I1135</f>
        <v>5.4154799999999996</v>
      </c>
      <c r="M1135" s="231">
        <f>K1135+L1135</f>
        <v>16.079039999999999</v>
      </c>
      <c r="N1135" s="227">
        <f>M1135*$N$7</f>
        <v>4.3542040319999993</v>
      </c>
      <c r="O1135" s="227">
        <f>M1135+N1135</f>
        <v>20.433244031999998</v>
      </c>
    </row>
    <row r="1136" spans="1:15" s="552" customFormat="1" ht="15" customHeight="1" x14ac:dyDescent="0.25">
      <c r="A1136" s="543"/>
      <c r="B1136" s="544" t="s">
        <v>658</v>
      </c>
      <c r="C1136" s="513">
        <v>378</v>
      </c>
      <c r="D1136" s="545" t="s">
        <v>702</v>
      </c>
      <c r="E1136" s="514" t="s">
        <v>42</v>
      </c>
      <c r="F1136" s="546">
        <v>7</v>
      </c>
      <c r="G1136" s="547">
        <v>12.57</v>
      </c>
      <c r="H1136" s="548"/>
      <c r="I1136" s="547">
        <f>F1136*G1136</f>
        <v>87.990000000000009</v>
      </c>
      <c r="J1136" s="549"/>
      <c r="K1136" s="548"/>
      <c r="L1136" s="547"/>
      <c r="M1136" s="549"/>
      <c r="N1136" s="550"/>
      <c r="O1136" s="551"/>
    </row>
    <row r="1137" spans="1:15" s="552" customFormat="1" ht="15" customHeight="1" x14ac:dyDescent="0.25">
      <c r="A1137" s="543"/>
      <c r="B1137" s="544" t="s">
        <v>658</v>
      </c>
      <c r="C1137" s="513">
        <v>6111</v>
      </c>
      <c r="D1137" s="545" t="s">
        <v>670</v>
      </c>
      <c r="E1137" s="514" t="s">
        <v>42</v>
      </c>
      <c r="F1137" s="546">
        <v>7</v>
      </c>
      <c r="G1137" s="547">
        <v>8.92</v>
      </c>
      <c r="H1137" s="548"/>
      <c r="I1137" s="547">
        <f>F1137*G1137</f>
        <v>62.44</v>
      </c>
      <c r="J1137" s="549"/>
      <c r="K1137" s="548"/>
      <c r="L1137" s="547"/>
      <c r="M1137" s="549"/>
      <c r="N1137" s="550"/>
      <c r="O1137" s="551"/>
    </row>
    <row r="1138" spans="1:15" s="552" customFormat="1" ht="15" customHeight="1" x14ac:dyDescent="0.25">
      <c r="A1138" s="543"/>
      <c r="B1138" s="544" t="s">
        <v>657</v>
      </c>
      <c r="C1138" s="513">
        <v>27</v>
      </c>
      <c r="D1138" s="545" t="s">
        <v>703</v>
      </c>
      <c r="E1138" s="514" t="s">
        <v>97</v>
      </c>
      <c r="F1138" s="546">
        <v>55</v>
      </c>
      <c r="G1138" s="547">
        <v>3.38</v>
      </c>
      <c r="H1138" s="548">
        <f t="shared" ref="H1138:H1140" si="149">F1138*G1138</f>
        <v>185.9</v>
      </c>
      <c r="I1138" s="547"/>
      <c r="J1138" s="549"/>
      <c r="K1138" s="548"/>
      <c r="L1138" s="547"/>
      <c r="M1138" s="549"/>
      <c r="N1138" s="550"/>
      <c r="O1138" s="551"/>
    </row>
    <row r="1139" spans="1:15" s="552" customFormat="1" ht="15" customHeight="1" x14ac:dyDescent="0.25">
      <c r="A1139" s="543"/>
      <c r="B1139" s="544" t="s">
        <v>658</v>
      </c>
      <c r="C1139" s="513">
        <v>33</v>
      </c>
      <c r="D1139" s="545" t="s">
        <v>704</v>
      </c>
      <c r="E1139" s="514" t="s">
        <v>97</v>
      </c>
      <c r="F1139" s="546">
        <v>22</v>
      </c>
      <c r="G1139" s="547">
        <v>4.18</v>
      </c>
      <c r="H1139" s="548">
        <f t="shared" si="149"/>
        <v>91.96</v>
      </c>
      <c r="I1139" s="547"/>
      <c r="J1139" s="549"/>
      <c r="K1139" s="548"/>
      <c r="L1139" s="547"/>
      <c r="M1139" s="549"/>
      <c r="N1139" s="550"/>
      <c r="O1139" s="551"/>
    </row>
    <row r="1140" spans="1:15" s="552" customFormat="1" ht="15" customHeight="1" x14ac:dyDescent="0.25">
      <c r="A1140" s="543"/>
      <c r="B1140" s="544" t="s">
        <v>657</v>
      </c>
      <c r="C1140" s="513">
        <v>337</v>
      </c>
      <c r="D1140" s="545" t="s">
        <v>705</v>
      </c>
      <c r="E1140" s="514" t="s">
        <v>97</v>
      </c>
      <c r="F1140" s="546">
        <v>2.5</v>
      </c>
      <c r="G1140" s="547">
        <v>7.34</v>
      </c>
      <c r="H1140" s="548">
        <f t="shared" si="149"/>
        <v>18.350000000000001</v>
      </c>
      <c r="I1140" s="547"/>
      <c r="J1140" s="549"/>
      <c r="K1140" s="548"/>
      <c r="L1140" s="547"/>
      <c r="M1140" s="549"/>
      <c r="N1140" s="550"/>
      <c r="O1140" s="551"/>
    </row>
    <row r="1141" spans="1:15" s="23" customFormat="1" ht="14.25" x14ac:dyDescent="0.2">
      <c r="A1141" s="134"/>
      <c r="B1141" s="129"/>
      <c r="C1141" s="29"/>
      <c r="D1141" s="117" t="s">
        <v>83</v>
      </c>
      <c r="E1141" s="30"/>
      <c r="F1141" s="118"/>
      <c r="G1141" s="31"/>
      <c r="H1141" s="104"/>
      <c r="I1141" s="27"/>
      <c r="J1141" s="105"/>
      <c r="K1141" s="104"/>
      <c r="L1141" s="27"/>
      <c r="M1141" s="105"/>
      <c r="N1141" s="92"/>
      <c r="O1141" s="92"/>
    </row>
    <row r="1142" spans="1:15" s="266" customFormat="1" ht="12.75" x14ac:dyDescent="0.2">
      <c r="A1142" s="516"/>
      <c r="B1142" s="517"/>
      <c r="C1142" s="518" t="s">
        <v>452</v>
      </c>
      <c r="D1142" s="519" t="s">
        <v>101</v>
      </c>
      <c r="E1142" s="520"/>
      <c r="F1142" s="519"/>
      <c r="G1142" s="520"/>
      <c r="H1142" s="521"/>
      <c r="I1142" s="522"/>
      <c r="J1142" s="523"/>
      <c r="K1142" s="521"/>
      <c r="L1142" s="522"/>
      <c r="M1142" s="523"/>
      <c r="N1142" s="524"/>
      <c r="O1142" s="525">
        <f>SUM(O1144:O1158)</f>
        <v>19232.809054019999</v>
      </c>
    </row>
    <row r="1143" spans="1:15" s="23" customFormat="1" ht="14.25" x14ac:dyDescent="0.2">
      <c r="A1143" s="134"/>
      <c r="B1143" s="130"/>
      <c r="C1143" s="34"/>
      <c r="D1143" s="117" t="s">
        <v>83</v>
      </c>
      <c r="E1143" s="30"/>
      <c r="F1143" s="118"/>
      <c r="G1143" s="31"/>
      <c r="H1143" s="104"/>
      <c r="I1143" s="27"/>
      <c r="J1143" s="105"/>
      <c r="K1143" s="104"/>
      <c r="L1143" s="27"/>
      <c r="M1143" s="105"/>
      <c r="N1143" s="92"/>
      <c r="O1143" s="92"/>
    </row>
    <row r="1144" spans="1:15" s="23" customFormat="1" ht="14.25" x14ac:dyDescent="0.2">
      <c r="A1144" s="135"/>
      <c r="B1144" s="120"/>
      <c r="C1144" s="122"/>
      <c r="D1144" s="124" t="s">
        <v>102</v>
      </c>
      <c r="E1144" s="122"/>
      <c r="F1144" s="90"/>
      <c r="G1144" s="116"/>
      <c r="H1144" s="102"/>
      <c r="I1144" s="35"/>
      <c r="J1144" s="103"/>
      <c r="K1144" s="102"/>
      <c r="L1144" s="35"/>
      <c r="M1144" s="103"/>
      <c r="N1144" s="90"/>
      <c r="O1144" s="90"/>
    </row>
    <row r="1145" spans="1:15" s="23" customFormat="1" ht="14.25" x14ac:dyDescent="0.2">
      <c r="A1145" s="134"/>
      <c r="B1145" s="130"/>
      <c r="C1145" s="34"/>
      <c r="D1145" s="117" t="s">
        <v>83</v>
      </c>
      <c r="E1145" s="30"/>
      <c r="F1145" s="118"/>
      <c r="G1145" s="31"/>
      <c r="H1145" s="104"/>
      <c r="I1145" s="27"/>
      <c r="J1145" s="105"/>
      <c r="K1145" s="104"/>
      <c r="L1145" s="27"/>
      <c r="M1145" s="105"/>
      <c r="N1145" s="92"/>
      <c r="O1145" s="92"/>
    </row>
    <row r="1146" spans="1:15" s="23" customFormat="1" ht="22.5" x14ac:dyDescent="0.2">
      <c r="A1146" s="223" t="s">
        <v>79</v>
      </c>
      <c r="B1146" s="224" t="s">
        <v>750</v>
      </c>
      <c r="C1146" s="225" t="s">
        <v>453</v>
      </c>
      <c r="D1146" s="226" t="s">
        <v>757</v>
      </c>
      <c r="E1146" s="225" t="s">
        <v>94</v>
      </c>
      <c r="F1146" s="515">
        <f>'MEMÓRIA DE CÁLCULO'!F250</f>
        <v>70.25</v>
      </c>
      <c r="G1146" s="228"/>
      <c r="H1146" s="229">
        <f>H1147</f>
        <v>77.599999999999994</v>
      </c>
      <c r="I1146" s="230">
        <v>0</v>
      </c>
      <c r="J1146" s="231">
        <f>(H1146+I1146)</f>
        <v>77.599999999999994</v>
      </c>
      <c r="K1146" s="229">
        <f>F1146*H1146</f>
        <v>5451.4</v>
      </c>
      <c r="L1146" s="230">
        <f>F1146*I1146</f>
        <v>0</v>
      </c>
      <c r="M1146" s="231">
        <f>K1146+L1146</f>
        <v>5451.4</v>
      </c>
      <c r="N1146" s="227">
        <f>M1146*$N$7</f>
        <v>1476.2391199999997</v>
      </c>
      <c r="O1146" s="227">
        <f>M1146+N1146</f>
        <v>6927.6391199999998</v>
      </c>
    </row>
    <row r="1147" spans="1:15" s="552" customFormat="1" ht="29.25" customHeight="1" x14ac:dyDescent="0.25">
      <c r="A1147" s="543"/>
      <c r="B1147" s="544"/>
      <c r="C1147" s="513"/>
      <c r="D1147" s="545" t="str">
        <f>D1146</f>
        <v>Parede de gesso acartonado simples interna, espessura final 100 mm, pé-direito conforme projeto arquitetônico - instalado conforme recomendações do fabricante</v>
      </c>
      <c r="E1147" s="514" t="s">
        <v>94</v>
      </c>
      <c r="F1147" s="546">
        <v>1</v>
      </c>
      <c r="G1147" s="547">
        <v>77.599999999999994</v>
      </c>
      <c r="H1147" s="548">
        <f>F1147*G1147</f>
        <v>77.599999999999994</v>
      </c>
      <c r="I1147" s="547"/>
      <c r="J1147" s="549"/>
      <c r="K1147" s="548"/>
      <c r="L1147" s="547"/>
      <c r="M1147" s="549"/>
      <c r="N1147" s="550"/>
      <c r="O1147" s="551"/>
    </row>
    <row r="1148" spans="1:15" s="23" customFormat="1" ht="14.25" x14ac:dyDescent="0.2">
      <c r="A1148" s="134"/>
      <c r="B1148" s="129"/>
      <c r="C1148" s="29"/>
      <c r="D1148" s="117" t="s">
        <v>83</v>
      </c>
      <c r="E1148" s="30"/>
      <c r="F1148" s="118"/>
      <c r="G1148" s="31"/>
      <c r="H1148" s="104"/>
      <c r="I1148" s="27"/>
      <c r="J1148" s="105"/>
      <c r="K1148" s="104"/>
      <c r="L1148" s="27"/>
      <c r="M1148" s="105"/>
      <c r="N1148" s="91"/>
      <c r="O1148" s="91"/>
    </row>
    <row r="1149" spans="1:15" s="23" customFormat="1" ht="33.75" x14ac:dyDescent="0.2">
      <c r="A1149" s="223" t="s">
        <v>79</v>
      </c>
      <c r="B1149" s="224" t="s">
        <v>751</v>
      </c>
      <c r="C1149" s="225" t="s">
        <v>454</v>
      </c>
      <c r="D1149" s="226" t="s">
        <v>758</v>
      </c>
      <c r="E1149" s="225" t="s">
        <v>94</v>
      </c>
      <c r="F1149" s="515">
        <f>'MEMÓRIA DE CÁLCULO'!F245</f>
        <v>106.39499999999998</v>
      </c>
      <c r="G1149" s="228"/>
      <c r="H1149" s="229">
        <f>H1150</f>
        <v>83.47</v>
      </c>
      <c r="I1149" s="230">
        <v>0</v>
      </c>
      <c r="J1149" s="231">
        <f>(H1149+I1149)</f>
        <v>83.47</v>
      </c>
      <c r="K1149" s="229">
        <f>F1149*H1149</f>
        <v>8880.790649999999</v>
      </c>
      <c r="L1149" s="230">
        <f>F1149*I1149</f>
        <v>0</v>
      </c>
      <c r="M1149" s="231">
        <f>K1149+L1149</f>
        <v>8880.790649999999</v>
      </c>
      <c r="N1149" s="227">
        <f>M1149*$N$7</f>
        <v>2404.9181080199996</v>
      </c>
      <c r="O1149" s="227">
        <f>M1149+N1149</f>
        <v>11285.708758019999</v>
      </c>
    </row>
    <row r="1150" spans="1:15" s="552" customFormat="1" ht="24.75" customHeight="1" x14ac:dyDescent="0.25">
      <c r="A1150" s="543"/>
      <c r="B1150" s="544"/>
      <c r="C1150" s="513"/>
      <c r="D1150" s="545" t="str">
        <f>D1149</f>
        <v>Parede de gesso acartonado para parede interna em local úmido, VERDE,  espessura final 125 mm, pé-direito conforme projeto arquitetonico - instalado conforme orinetações do fabricante.</v>
      </c>
      <c r="E1150" s="514" t="s">
        <v>94</v>
      </c>
      <c r="F1150" s="546">
        <v>1</v>
      </c>
      <c r="G1150" s="547">
        <v>83.47</v>
      </c>
      <c r="H1150" s="548">
        <f>F1150*G1150</f>
        <v>83.47</v>
      </c>
      <c r="I1150" s="547"/>
      <c r="J1150" s="549"/>
      <c r="K1150" s="548"/>
      <c r="L1150" s="547"/>
      <c r="M1150" s="549"/>
      <c r="N1150" s="550"/>
      <c r="O1150" s="551"/>
    </row>
    <row r="1151" spans="1:15" s="23" customFormat="1" ht="14.25" x14ac:dyDescent="0.2">
      <c r="A1151" s="134"/>
      <c r="B1151" s="129"/>
      <c r="C1151" s="29"/>
      <c r="D1151" s="117" t="s">
        <v>83</v>
      </c>
      <c r="E1151" s="30"/>
      <c r="F1151" s="118"/>
      <c r="G1151" s="31"/>
      <c r="H1151" s="104"/>
      <c r="I1151" s="27"/>
      <c r="J1151" s="105"/>
      <c r="K1151" s="104"/>
      <c r="L1151" s="27"/>
      <c r="M1151" s="105"/>
      <c r="N1151" s="91"/>
      <c r="O1151" s="91"/>
    </row>
    <row r="1152" spans="1:15" s="23" customFormat="1" ht="22.5" x14ac:dyDescent="0.2">
      <c r="A1152" s="223"/>
      <c r="B1152" s="224" t="s">
        <v>231</v>
      </c>
      <c r="C1152" s="225" t="s">
        <v>455</v>
      </c>
      <c r="D1152" s="226" t="s">
        <v>1081</v>
      </c>
      <c r="E1152" s="225" t="s">
        <v>41</v>
      </c>
      <c r="F1152" s="515">
        <v>1</v>
      </c>
      <c r="G1152" s="228"/>
      <c r="H1152" s="229">
        <f>ROUND(SUM(H1153:H1157),2)</f>
        <v>630.29999999999995</v>
      </c>
      <c r="I1152" s="230">
        <f>ROUND(SUM(I1153:I1157),2)</f>
        <v>171.92</v>
      </c>
      <c r="J1152" s="231">
        <f>(H1152+I1152)</f>
        <v>802.21999999999991</v>
      </c>
      <c r="K1152" s="229">
        <f>F1152*H1152</f>
        <v>630.29999999999995</v>
      </c>
      <c r="L1152" s="230">
        <f>F1152*I1152</f>
        <v>171.92</v>
      </c>
      <c r="M1152" s="231">
        <f>K1152+L1152</f>
        <v>802.21999999999991</v>
      </c>
      <c r="N1152" s="227">
        <f>M1152*$N$7</f>
        <v>217.24117599999997</v>
      </c>
      <c r="O1152" s="227">
        <f>M1152+N1152</f>
        <v>1019.4611759999999</v>
      </c>
    </row>
    <row r="1153" spans="1:15" s="552" customFormat="1" ht="15" customHeight="1" x14ac:dyDescent="0.25">
      <c r="A1153" s="543"/>
      <c r="B1153" s="544" t="s">
        <v>715</v>
      </c>
      <c r="C1153" s="513">
        <v>4750</v>
      </c>
      <c r="D1153" s="545" t="s">
        <v>714</v>
      </c>
      <c r="E1153" s="514" t="s">
        <v>42</v>
      </c>
      <c r="F1153" s="546">
        <v>8</v>
      </c>
      <c r="G1153" s="547">
        <v>12.57</v>
      </c>
      <c r="H1153" s="548"/>
      <c r="I1153" s="547">
        <f t="shared" ref="I1153:I1154" si="150">F1153*G1153</f>
        <v>100.56</v>
      </c>
      <c r="J1153" s="549"/>
      <c r="K1153" s="548"/>
      <c r="L1153" s="547"/>
      <c r="M1153" s="549"/>
      <c r="N1153" s="550"/>
      <c r="O1153" s="551"/>
    </row>
    <row r="1154" spans="1:15" s="552" customFormat="1" ht="15" customHeight="1" x14ac:dyDescent="0.25">
      <c r="A1154" s="543"/>
      <c r="B1154" s="544" t="s">
        <v>658</v>
      </c>
      <c r="C1154" s="513">
        <v>6111</v>
      </c>
      <c r="D1154" s="545" t="s">
        <v>670</v>
      </c>
      <c r="E1154" s="514" t="s">
        <v>42</v>
      </c>
      <c r="F1154" s="546">
        <v>8</v>
      </c>
      <c r="G1154" s="547">
        <v>8.92</v>
      </c>
      <c r="H1154" s="548"/>
      <c r="I1154" s="547">
        <f t="shared" si="150"/>
        <v>71.36</v>
      </c>
      <c r="J1154" s="549"/>
      <c r="K1154" s="548"/>
      <c r="L1154" s="547"/>
      <c r="M1154" s="549"/>
      <c r="N1154" s="550"/>
      <c r="O1154" s="551"/>
    </row>
    <row r="1155" spans="1:15" s="552" customFormat="1" ht="24.75" customHeight="1" x14ac:dyDescent="0.25">
      <c r="A1155" s="543"/>
      <c r="B1155" s="544"/>
      <c r="C1155" s="513"/>
      <c r="D1155" s="545" t="s">
        <v>492</v>
      </c>
      <c r="E1155" s="514" t="s">
        <v>58</v>
      </c>
      <c r="F1155" s="546">
        <v>2</v>
      </c>
      <c r="G1155" s="547">
        <v>77.599999999999994</v>
      </c>
      <c r="H1155" s="548">
        <f>F1155*G1155</f>
        <v>155.19999999999999</v>
      </c>
      <c r="I1155" s="547"/>
      <c r="J1155" s="549"/>
      <c r="K1155" s="548"/>
      <c r="L1155" s="547"/>
      <c r="M1155" s="549"/>
      <c r="N1155" s="550"/>
      <c r="O1155" s="551"/>
    </row>
    <row r="1156" spans="1:15" s="552" customFormat="1" ht="24.75" customHeight="1" x14ac:dyDescent="0.25">
      <c r="A1156" s="543"/>
      <c r="B1156" s="544"/>
      <c r="C1156" s="513"/>
      <c r="D1156" s="545" t="s">
        <v>493</v>
      </c>
      <c r="E1156" s="514" t="s">
        <v>56</v>
      </c>
      <c r="F1156" s="546">
        <v>2</v>
      </c>
      <c r="G1156" s="547">
        <v>130</v>
      </c>
      <c r="H1156" s="548">
        <f>F1156*G1156</f>
        <v>260</v>
      </c>
      <c r="I1156" s="547"/>
      <c r="J1156" s="549"/>
      <c r="K1156" s="548"/>
      <c r="L1156" s="547"/>
      <c r="M1156" s="549"/>
      <c r="N1156" s="550"/>
      <c r="O1156" s="551"/>
    </row>
    <row r="1157" spans="1:15" s="552" customFormat="1" ht="24.75" customHeight="1" x14ac:dyDescent="0.25">
      <c r="A1157" s="543"/>
      <c r="B1157" s="544"/>
      <c r="C1157" s="513"/>
      <c r="D1157" s="545" t="s">
        <v>494</v>
      </c>
      <c r="E1157" s="514" t="s">
        <v>58</v>
      </c>
      <c r="F1157" s="546">
        <v>0.9</v>
      </c>
      <c r="G1157" s="547">
        <v>239</v>
      </c>
      <c r="H1157" s="548">
        <f>F1157*G1157</f>
        <v>215.1</v>
      </c>
      <c r="I1157" s="547"/>
      <c r="J1157" s="549"/>
      <c r="K1157" s="548"/>
      <c r="L1157" s="547"/>
      <c r="M1157" s="549"/>
      <c r="N1157" s="550"/>
      <c r="O1157" s="551"/>
    </row>
    <row r="1158" spans="1:15" x14ac:dyDescent="0.25">
      <c r="A1158" s="136"/>
      <c r="B1158" s="128"/>
      <c r="C1158" s="32"/>
      <c r="D1158" s="123"/>
      <c r="E1158" s="32"/>
      <c r="F1158" s="481"/>
      <c r="G1158" s="482"/>
      <c r="H1158" s="487"/>
      <c r="I1158" s="482"/>
      <c r="J1158" s="486"/>
      <c r="K1158" s="487"/>
      <c r="L1158" s="482"/>
      <c r="M1158" s="486"/>
      <c r="N1158" s="91"/>
      <c r="O1158" s="91"/>
    </row>
    <row r="1159" spans="1:15" s="266" customFormat="1" ht="12.75" x14ac:dyDescent="0.2">
      <c r="A1159" s="516"/>
      <c r="B1159" s="517"/>
      <c r="C1159" s="518" t="s">
        <v>551</v>
      </c>
      <c r="D1159" s="519" t="s">
        <v>103</v>
      </c>
      <c r="E1159" s="520"/>
      <c r="F1159" s="519"/>
      <c r="G1159" s="520"/>
      <c r="H1159" s="521"/>
      <c r="I1159" s="522"/>
      <c r="J1159" s="523"/>
      <c r="K1159" s="521"/>
      <c r="L1159" s="522"/>
      <c r="M1159" s="523"/>
      <c r="N1159" s="524"/>
      <c r="O1159" s="525">
        <f>SUM(O1161:O1220)</f>
        <v>9765.7193016000001</v>
      </c>
    </row>
    <row r="1160" spans="1:15" s="23" customFormat="1" ht="14.25" x14ac:dyDescent="0.2">
      <c r="A1160" s="134"/>
      <c r="B1160" s="129"/>
      <c r="C1160" s="29"/>
      <c r="D1160" s="117" t="s">
        <v>83</v>
      </c>
      <c r="E1160" s="30"/>
      <c r="F1160" s="118"/>
      <c r="G1160" s="31"/>
      <c r="H1160" s="104"/>
      <c r="I1160" s="27"/>
      <c r="J1160" s="105"/>
      <c r="K1160" s="104"/>
      <c r="L1160" s="27"/>
      <c r="M1160" s="105"/>
      <c r="N1160" s="92"/>
      <c r="O1160" s="92"/>
    </row>
    <row r="1161" spans="1:15" s="23" customFormat="1" ht="14.25" x14ac:dyDescent="0.2">
      <c r="A1161" s="135"/>
      <c r="B1161" s="120"/>
      <c r="C1161" s="122"/>
      <c r="D1161" s="124" t="s">
        <v>104</v>
      </c>
      <c r="E1161" s="122"/>
      <c r="F1161" s="90"/>
      <c r="G1161" s="116"/>
      <c r="H1161" s="102"/>
      <c r="I1161" s="35"/>
      <c r="J1161" s="103"/>
      <c r="K1161" s="102"/>
      <c r="L1161" s="35"/>
      <c r="M1161" s="103"/>
      <c r="N1161" s="90"/>
      <c r="O1161" s="90"/>
    </row>
    <row r="1162" spans="1:15" s="23" customFormat="1" ht="14.25" x14ac:dyDescent="0.2">
      <c r="A1162" s="134"/>
      <c r="B1162" s="129"/>
      <c r="C1162" s="29"/>
      <c r="D1162" s="117" t="s">
        <v>83</v>
      </c>
      <c r="E1162" s="30"/>
      <c r="F1162" s="118"/>
      <c r="G1162" s="31"/>
      <c r="H1162" s="104"/>
      <c r="I1162" s="27"/>
      <c r="J1162" s="105"/>
      <c r="K1162" s="104"/>
      <c r="L1162" s="27"/>
      <c r="M1162" s="105"/>
      <c r="N1162" s="92"/>
      <c r="O1162" s="92"/>
    </row>
    <row r="1163" spans="1:15" s="23" customFormat="1" ht="62.25" customHeight="1" x14ac:dyDescent="0.2">
      <c r="A1163" s="223" t="s">
        <v>78</v>
      </c>
      <c r="B1163" s="224" t="s">
        <v>771</v>
      </c>
      <c r="C1163" s="225" t="s">
        <v>822</v>
      </c>
      <c r="D1163" s="226" t="s">
        <v>772</v>
      </c>
      <c r="E1163" s="225" t="s">
        <v>81</v>
      </c>
      <c r="F1163" s="515">
        <v>2</v>
      </c>
      <c r="G1163" s="228"/>
      <c r="H1163" s="229">
        <f>ROUND(SUM(H1164:H1174),2)</f>
        <v>213.83</v>
      </c>
      <c r="I1163" s="229">
        <f>ROUND(SUM(I1164:I1174),2)</f>
        <v>72.42</v>
      </c>
      <c r="J1163" s="231">
        <f>(H1163+I1163)</f>
        <v>286.25</v>
      </c>
      <c r="K1163" s="229">
        <f>F1163*H1163</f>
        <v>427.66</v>
      </c>
      <c r="L1163" s="230">
        <f>F1163*I1163</f>
        <v>144.84</v>
      </c>
      <c r="M1163" s="231">
        <f>K1163+L1163</f>
        <v>572.5</v>
      </c>
      <c r="N1163" s="227">
        <f>M1163*$N$7</f>
        <v>155.03299999999999</v>
      </c>
      <c r="O1163" s="227">
        <f>M1163+N1163</f>
        <v>727.53300000000002</v>
      </c>
    </row>
    <row r="1164" spans="1:15" s="552" customFormat="1" ht="15" customHeight="1" x14ac:dyDescent="0.25">
      <c r="A1164" s="543"/>
      <c r="B1164" s="544" t="s">
        <v>715</v>
      </c>
      <c r="C1164" s="513">
        <v>1214</v>
      </c>
      <c r="D1164" s="545" t="s">
        <v>713</v>
      </c>
      <c r="E1164" s="514" t="s">
        <v>42</v>
      </c>
      <c r="F1164" s="546">
        <v>2.0150000000000001</v>
      </c>
      <c r="G1164" s="547">
        <v>12.39</v>
      </c>
      <c r="H1164" s="548"/>
      <c r="I1164" s="547">
        <f>F1164*G1164</f>
        <v>24.965850000000003</v>
      </c>
      <c r="J1164" s="549"/>
      <c r="K1164" s="548"/>
      <c r="L1164" s="547"/>
      <c r="M1164" s="549"/>
      <c r="N1164" s="550"/>
      <c r="O1164" s="551"/>
    </row>
    <row r="1165" spans="1:15" s="552" customFormat="1" ht="15" customHeight="1" x14ac:dyDescent="0.25">
      <c r="A1165" s="543"/>
      <c r="B1165" s="544" t="s">
        <v>715</v>
      </c>
      <c r="C1165" s="513">
        <v>4750</v>
      </c>
      <c r="D1165" s="545" t="s">
        <v>714</v>
      </c>
      <c r="E1165" s="514" t="s">
        <v>42</v>
      </c>
      <c r="F1165" s="546">
        <v>1.3720000000000001</v>
      </c>
      <c r="G1165" s="547">
        <v>12.57</v>
      </c>
      <c r="H1165" s="548"/>
      <c r="I1165" s="547">
        <f t="shared" ref="I1165:I1166" si="151">F1165*G1165</f>
        <v>17.246040000000001</v>
      </c>
      <c r="J1165" s="549"/>
      <c r="K1165" s="548"/>
      <c r="L1165" s="547"/>
      <c r="M1165" s="549"/>
      <c r="N1165" s="550"/>
      <c r="O1165" s="551"/>
    </row>
    <row r="1166" spans="1:15" s="552" customFormat="1" ht="15" customHeight="1" x14ac:dyDescent="0.25">
      <c r="A1166" s="543"/>
      <c r="B1166" s="544" t="s">
        <v>658</v>
      </c>
      <c r="C1166" s="513">
        <v>6111</v>
      </c>
      <c r="D1166" s="545" t="s">
        <v>670</v>
      </c>
      <c r="E1166" s="514" t="s">
        <v>42</v>
      </c>
      <c r="F1166" s="546">
        <v>3.387</v>
      </c>
      <c r="G1166" s="547">
        <v>8.92</v>
      </c>
      <c r="H1166" s="548"/>
      <c r="I1166" s="547">
        <f t="shared" si="151"/>
        <v>30.212039999999998</v>
      </c>
      <c r="J1166" s="549"/>
      <c r="K1166" s="548"/>
      <c r="L1166" s="547"/>
      <c r="M1166" s="549"/>
      <c r="N1166" s="550"/>
      <c r="O1166" s="551"/>
    </row>
    <row r="1167" spans="1:15" s="552" customFormat="1" ht="15" customHeight="1" x14ac:dyDescent="0.25">
      <c r="A1167" s="543"/>
      <c r="B1167" s="544" t="s">
        <v>664</v>
      </c>
      <c r="C1167" s="513">
        <v>88627</v>
      </c>
      <c r="D1167" s="545" t="s">
        <v>706</v>
      </c>
      <c r="E1167" s="514" t="s">
        <v>233</v>
      </c>
      <c r="F1167" s="546">
        <v>9.7999999999999997E-3</v>
      </c>
      <c r="G1167" s="547">
        <v>386.72</v>
      </c>
      <c r="H1167" s="548">
        <f t="shared" ref="H1167:H1168" si="152">F1167*G1167</f>
        <v>3.7898560000000003</v>
      </c>
      <c r="I1167" s="547"/>
      <c r="J1167" s="549"/>
      <c r="K1167" s="548"/>
      <c r="L1167" s="547"/>
      <c r="M1167" s="549"/>
      <c r="N1167" s="550"/>
      <c r="O1167" s="551"/>
    </row>
    <row r="1168" spans="1:15" s="552" customFormat="1" ht="15" customHeight="1" x14ac:dyDescent="0.25">
      <c r="A1168" s="543"/>
      <c r="B1168" s="544" t="s">
        <v>657</v>
      </c>
      <c r="C1168" s="513">
        <v>184</v>
      </c>
      <c r="D1168" s="545" t="s">
        <v>707</v>
      </c>
      <c r="E1168" s="514" t="s">
        <v>708</v>
      </c>
      <c r="F1168" s="546">
        <v>1</v>
      </c>
      <c r="G1168" s="547">
        <v>40.64</v>
      </c>
      <c r="H1168" s="548">
        <f t="shared" si="152"/>
        <v>40.64</v>
      </c>
      <c r="I1168" s="547"/>
      <c r="J1168" s="549"/>
      <c r="K1168" s="548"/>
      <c r="L1168" s="547"/>
      <c r="M1168" s="549"/>
      <c r="N1168" s="550"/>
      <c r="O1168" s="551"/>
    </row>
    <row r="1169" spans="1:15" s="552" customFormat="1" ht="15" customHeight="1" x14ac:dyDescent="0.25">
      <c r="A1169" s="543"/>
      <c r="B1169" s="544" t="s">
        <v>658</v>
      </c>
      <c r="C1169" s="513">
        <v>11447</v>
      </c>
      <c r="D1169" s="545" t="s">
        <v>720</v>
      </c>
      <c r="E1169" s="514" t="s">
        <v>41</v>
      </c>
      <c r="F1169" s="546">
        <v>3</v>
      </c>
      <c r="G1169" s="547">
        <v>17.34</v>
      </c>
      <c r="H1169" s="548">
        <f>F1169*G1169</f>
        <v>52.019999999999996</v>
      </c>
      <c r="I1169" s="547"/>
      <c r="J1169" s="549"/>
      <c r="K1169" s="548"/>
      <c r="L1169" s="547"/>
      <c r="M1169" s="549"/>
      <c r="N1169" s="550"/>
      <c r="O1169" s="551"/>
    </row>
    <row r="1170" spans="1:15" s="552" customFormat="1" ht="15" customHeight="1" x14ac:dyDescent="0.25">
      <c r="A1170" s="543"/>
      <c r="B1170" s="544" t="s">
        <v>658</v>
      </c>
      <c r="C1170" s="513">
        <v>4378</v>
      </c>
      <c r="D1170" s="545" t="s">
        <v>709</v>
      </c>
      <c r="E1170" s="514" t="s">
        <v>41</v>
      </c>
      <c r="F1170" s="546">
        <v>6</v>
      </c>
      <c r="G1170" s="547">
        <v>0.47</v>
      </c>
      <c r="H1170" s="548">
        <f>F1170*G1170</f>
        <v>2.82</v>
      </c>
      <c r="I1170" s="547"/>
      <c r="J1170" s="549"/>
      <c r="K1170" s="548"/>
      <c r="L1170" s="547"/>
      <c r="M1170" s="549"/>
      <c r="N1170" s="550"/>
      <c r="O1170" s="551"/>
    </row>
    <row r="1171" spans="1:15" s="552" customFormat="1" ht="15" customHeight="1" x14ac:dyDescent="0.25">
      <c r="A1171" s="543"/>
      <c r="B1171" s="544" t="s">
        <v>658</v>
      </c>
      <c r="C1171" s="513">
        <v>4419</v>
      </c>
      <c r="D1171" s="545" t="s">
        <v>710</v>
      </c>
      <c r="E1171" s="514" t="s">
        <v>41</v>
      </c>
      <c r="F1171" s="546">
        <v>6</v>
      </c>
      <c r="G1171" s="547">
        <v>0.66</v>
      </c>
      <c r="H1171" s="548">
        <f>F1171*G1171</f>
        <v>3.96</v>
      </c>
      <c r="I1171" s="547"/>
      <c r="J1171" s="549"/>
      <c r="K1171" s="548"/>
      <c r="L1171" s="547"/>
      <c r="M1171" s="549"/>
      <c r="N1171" s="550"/>
      <c r="O1171" s="551"/>
    </row>
    <row r="1172" spans="1:15" s="552" customFormat="1" ht="15" customHeight="1" x14ac:dyDescent="0.25">
      <c r="A1172" s="543"/>
      <c r="B1172" s="544" t="s">
        <v>658</v>
      </c>
      <c r="C1172" s="513">
        <v>10554</v>
      </c>
      <c r="D1172" s="545" t="s">
        <v>973</v>
      </c>
      <c r="E1172" s="514" t="s">
        <v>41</v>
      </c>
      <c r="F1172" s="546">
        <v>1</v>
      </c>
      <c r="G1172" s="547">
        <v>61.89</v>
      </c>
      <c r="H1172" s="548">
        <f t="shared" ref="H1172" si="153">F1172*G1172</f>
        <v>61.89</v>
      </c>
      <c r="I1172" s="547"/>
      <c r="J1172" s="549"/>
      <c r="K1172" s="548"/>
      <c r="L1172" s="547"/>
      <c r="M1172" s="549"/>
      <c r="N1172" s="550"/>
      <c r="O1172" s="551"/>
    </row>
    <row r="1173" spans="1:15" s="552" customFormat="1" ht="15" customHeight="1" x14ac:dyDescent="0.25">
      <c r="A1173" s="543"/>
      <c r="B1173" s="544" t="s">
        <v>657</v>
      </c>
      <c r="C1173" s="513">
        <v>20006</v>
      </c>
      <c r="D1173" s="545" t="s">
        <v>711</v>
      </c>
      <c r="E1173" s="514" t="s">
        <v>56</v>
      </c>
      <c r="F1173" s="546">
        <v>9.8000000000000007</v>
      </c>
      <c r="G1173" s="547">
        <v>4.51</v>
      </c>
      <c r="H1173" s="548">
        <f>F1173*G1173</f>
        <v>44.198</v>
      </c>
      <c r="I1173" s="547"/>
      <c r="J1173" s="549"/>
      <c r="K1173" s="548"/>
      <c r="L1173" s="547"/>
      <c r="M1173" s="549"/>
      <c r="N1173" s="550"/>
      <c r="O1173" s="551"/>
    </row>
    <row r="1174" spans="1:15" s="552" customFormat="1" ht="15" customHeight="1" x14ac:dyDescent="0.25">
      <c r="A1174" s="543"/>
      <c r="B1174" s="544" t="s">
        <v>658</v>
      </c>
      <c r="C1174" s="513">
        <v>20247</v>
      </c>
      <c r="D1174" s="545" t="s">
        <v>778</v>
      </c>
      <c r="E1174" s="514" t="s">
        <v>48</v>
      </c>
      <c r="F1174" s="546">
        <v>0.6</v>
      </c>
      <c r="G1174" s="547">
        <v>7.52</v>
      </c>
      <c r="H1174" s="548">
        <f>F1174*G1174</f>
        <v>4.5119999999999996</v>
      </c>
      <c r="I1174" s="547"/>
      <c r="J1174" s="549"/>
      <c r="K1174" s="548"/>
      <c r="L1174" s="547"/>
      <c r="M1174" s="549"/>
      <c r="N1174" s="550"/>
      <c r="O1174" s="551"/>
    </row>
    <row r="1175" spans="1:15" s="552" customFormat="1" ht="15" customHeight="1" x14ac:dyDescent="0.25">
      <c r="A1175" s="543"/>
      <c r="B1175" s="544"/>
      <c r="C1175" s="513"/>
      <c r="D1175" s="545"/>
      <c r="E1175" s="514"/>
      <c r="F1175" s="546"/>
      <c r="G1175" s="547"/>
      <c r="H1175" s="548"/>
      <c r="I1175" s="547"/>
      <c r="J1175" s="549"/>
      <c r="K1175" s="548"/>
      <c r="L1175" s="547"/>
      <c r="M1175" s="549"/>
      <c r="N1175" s="550"/>
      <c r="O1175" s="551"/>
    </row>
    <row r="1176" spans="1:15" s="23" customFormat="1" ht="33.75" x14ac:dyDescent="0.2">
      <c r="A1176" s="223" t="s">
        <v>78</v>
      </c>
      <c r="B1176" s="224" t="s">
        <v>775</v>
      </c>
      <c r="C1176" s="225" t="s">
        <v>552</v>
      </c>
      <c r="D1176" s="226" t="s">
        <v>776</v>
      </c>
      <c r="E1176" s="225" t="s">
        <v>81</v>
      </c>
      <c r="F1176" s="515">
        <f>'MEMÓRIA DE CÁLCULO'!D255</f>
        <v>3</v>
      </c>
      <c r="G1176" s="228"/>
      <c r="H1176" s="229">
        <f>ROUND(SUM(H1177:H1187),2)</f>
        <v>216.79</v>
      </c>
      <c r="I1176" s="229">
        <f>ROUND(SUM(I1177:I1187),2)</f>
        <v>73.77</v>
      </c>
      <c r="J1176" s="231">
        <f>(H1176+I1176)</f>
        <v>290.56</v>
      </c>
      <c r="K1176" s="229">
        <f>F1176*H1176</f>
        <v>650.37</v>
      </c>
      <c r="L1176" s="230">
        <f>F1176*I1176</f>
        <v>221.31</v>
      </c>
      <c r="M1176" s="231">
        <f>K1176+L1176</f>
        <v>871.68000000000006</v>
      </c>
      <c r="N1176" s="227">
        <f>M1176*$N$7</f>
        <v>236.05094400000002</v>
      </c>
      <c r="O1176" s="227">
        <f>M1176+N1176</f>
        <v>1107.7309440000001</v>
      </c>
    </row>
    <row r="1177" spans="1:15" s="552" customFormat="1" ht="15" customHeight="1" x14ac:dyDescent="0.25">
      <c r="A1177" s="543"/>
      <c r="B1177" s="544" t="s">
        <v>715</v>
      </c>
      <c r="C1177" s="513">
        <v>1214</v>
      </c>
      <c r="D1177" s="545" t="s">
        <v>713</v>
      </c>
      <c r="E1177" s="514" t="s">
        <v>42</v>
      </c>
      <c r="F1177" s="546">
        <v>2.0499999999999998</v>
      </c>
      <c r="G1177" s="547">
        <v>12.39</v>
      </c>
      <c r="H1177" s="548"/>
      <c r="I1177" s="547">
        <f>F1177*G1177</f>
        <v>25.3995</v>
      </c>
      <c r="J1177" s="549"/>
      <c r="K1177" s="548"/>
      <c r="L1177" s="547"/>
      <c r="M1177" s="549"/>
      <c r="N1177" s="550"/>
      <c r="O1177" s="551"/>
    </row>
    <row r="1178" spans="1:15" s="552" customFormat="1" ht="15" customHeight="1" x14ac:dyDescent="0.25">
      <c r="A1178" s="543"/>
      <c r="B1178" s="544" t="s">
        <v>715</v>
      </c>
      <c r="C1178" s="513">
        <v>4750</v>
      </c>
      <c r="D1178" s="545" t="s">
        <v>714</v>
      </c>
      <c r="E1178" s="514" t="s">
        <v>42</v>
      </c>
      <c r="F1178" s="546">
        <v>1.4</v>
      </c>
      <c r="G1178" s="547">
        <v>12.57</v>
      </c>
      <c r="H1178" s="548"/>
      <c r="I1178" s="547">
        <f t="shared" ref="I1178:I1179" si="154">F1178*G1178</f>
        <v>17.597999999999999</v>
      </c>
      <c r="J1178" s="549"/>
      <c r="K1178" s="548"/>
      <c r="L1178" s="547"/>
      <c r="M1178" s="549"/>
      <c r="N1178" s="550"/>
      <c r="O1178" s="551"/>
    </row>
    <row r="1179" spans="1:15" s="552" customFormat="1" ht="15" customHeight="1" x14ac:dyDescent="0.25">
      <c r="A1179" s="543"/>
      <c r="B1179" s="544" t="s">
        <v>658</v>
      </c>
      <c r="C1179" s="513">
        <v>6111</v>
      </c>
      <c r="D1179" s="545" t="s">
        <v>670</v>
      </c>
      <c r="E1179" s="514" t="s">
        <v>42</v>
      </c>
      <c r="F1179" s="546">
        <v>3.45</v>
      </c>
      <c r="G1179" s="547">
        <v>8.92</v>
      </c>
      <c r="H1179" s="548"/>
      <c r="I1179" s="547">
        <f t="shared" si="154"/>
        <v>30.774000000000001</v>
      </c>
      <c r="J1179" s="549"/>
      <c r="K1179" s="548"/>
      <c r="L1179" s="547"/>
      <c r="M1179" s="549"/>
      <c r="N1179" s="550"/>
      <c r="O1179" s="551"/>
    </row>
    <row r="1180" spans="1:15" s="552" customFormat="1" ht="15" customHeight="1" x14ac:dyDescent="0.25">
      <c r="A1180" s="543"/>
      <c r="B1180" s="544" t="s">
        <v>664</v>
      </c>
      <c r="C1180" s="513">
        <v>88627</v>
      </c>
      <c r="D1180" s="545" t="s">
        <v>706</v>
      </c>
      <c r="E1180" s="514" t="s">
        <v>233</v>
      </c>
      <c r="F1180" s="546">
        <v>0.01</v>
      </c>
      <c r="G1180" s="547">
        <v>386.72</v>
      </c>
      <c r="H1180" s="548">
        <f t="shared" ref="H1180:H1181" si="155">F1180*G1180</f>
        <v>3.8672000000000004</v>
      </c>
      <c r="I1180" s="547"/>
      <c r="J1180" s="549"/>
      <c r="K1180" s="548"/>
      <c r="L1180" s="547"/>
      <c r="M1180" s="549"/>
      <c r="N1180" s="550"/>
      <c r="O1180" s="551"/>
    </row>
    <row r="1181" spans="1:15" s="552" customFormat="1" ht="15" customHeight="1" x14ac:dyDescent="0.25">
      <c r="A1181" s="543"/>
      <c r="B1181" s="544" t="s">
        <v>657</v>
      </c>
      <c r="C1181" s="513">
        <v>184</v>
      </c>
      <c r="D1181" s="545" t="s">
        <v>707</v>
      </c>
      <c r="E1181" s="514" t="s">
        <v>708</v>
      </c>
      <c r="F1181" s="546">
        <v>1</v>
      </c>
      <c r="G1181" s="547">
        <v>40.64</v>
      </c>
      <c r="H1181" s="548">
        <f t="shared" si="155"/>
        <v>40.64</v>
      </c>
      <c r="I1181" s="547"/>
      <c r="J1181" s="549"/>
      <c r="K1181" s="548"/>
      <c r="L1181" s="547"/>
      <c r="M1181" s="549"/>
      <c r="N1181" s="550"/>
      <c r="O1181" s="551"/>
    </row>
    <row r="1182" spans="1:15" s="552" customFormat="1" ht="15" customHeight="1" x14ac:dyDescent="0.25">
      <c r="A1182" s="543"/>
      <c r="B1182" s="544" t="s">
        <v>658</v>
      </c>
      <c r="C1182" s="513">
        <v>11447</v>
      </c>
      <c r="D1182" s="545" t="s">
        <v>720</v>
      </c>
      <c r="E1182" s="514" t="s">
        <v>41</v>
      </c>
      <c r="F1182" s="546">
        <v>3</v>
      </c>
      <c r="G1182" s="547">
        <v>17.34</v>
      </c>
      <c r="H1182" s="548">
        <f>F1182*G1182</f>
        <v>52.019999999999996</v>
      </c>
      <c r="I1182" s="547"/>
      <c r="J1182" s="549"/>
      <c r="K1182" s="548"/>
      <c r="L1182" s="547"/>
      <c r="M1182" s="549"/>
      <c r="N1182" s="550"/>
      <c r="O1182" s="551"/>
    </row>
    <row r="1183" spans="1:15" s="552" customFormat="1" ht="15" customHeight="1" x14ac:dyDescent="0.25">
      <c r="A1183" s="543"/>
      <c r="B1183" s="544" t="s">
        <v>658</v>
      </c>
      <c r="C1183" s="513">
        <v>4378</v>
      </c>
      <c r="D1183" s="545" t="s">
        <v>709</v>
      </c>
      <c r="E1183" s="514" t="s">
        <v>41</v>
      </c>
      <c r="F1183" s="546">
        <v>6</v>
      </c>
      <c r="G1183" s="547">
        <v>0.47</v>
      </c>
      <c r="H1183" s="548">
        <f>F1183*G1183</f>
        <v>2.82</v>
      </c>
      <c r="I1183" s="547"/>
      <c r="J1183" s="549"/>
      <c r="K1183" s="548"/>
      <c r="L1183" s="547"/>
      <c r="M1183" s="549"/>
      <c r="N1183" s="550"/>
      <c r="O1183" s="551"/>
    </row>
    <row r="1184" spans="1:15" s="552" customFormat="1" ht="15" customHeight="1" x14ac:dyDescent="0.25">
      <c r="A1184" s="543"/>
      <c r="B1184" s="544" t="s">
        <v>658</v>
      </c>
      <c r="C1184" s="513">
        <v>4419</v>
      </c>
      <c r="D1184" s="545" t="s">
        <v>710</v>
      </c>
      <c r="E1184" s="514" t="s">
        <v>41</v>
      </c>
      <c r="F1184" s="546">
        <v>6</v>
      </c>
      <c r="G1184" s="547">
        <v>0.66</v>
      </c>
      <c r="H1184" s="548">
        <f>F1184*G1184</f>
        <v>3.96</v>
      </c>
      <c r="I1184" s="547"/>
      <c r="J1184" s="549"/>
      <c r="K1184" s="548"/>
      <c r="L1184" s="547"/>
      <c r="M1184" s="549"/>
      <c r="N1184" s="550"/>
      <c r="O1184" s="551"/>
    </row>
    <row r="1185" spans="1:15" s="552" customFormat="1" ht="15" customHeight="1" x14ac:dyDescent="0.25">
      <c r="A1185" s="543"/>
      <c r="B1185" s="544" t="s">
        <v>658</v>
      </c>
      <c r="C1185" s="513">
        <v>10555</v>
      </c>
      <c r="D1185" s="545" t="s">
        <v>777</v>
      </c>
      <c r="E1185" s="514" t="s">
        <v>41</v>
      </c>
      <c r="F1185" s="546">
        <v>1</v>
      </c>
      <c r="G1185" s="547">
        <v>63.87</v>
      </c>
      <c r="H1185" s="548">
        <f t="shared" ref="H1185" si="156">F1185*G1185</f>
        <v>63.87</v>
      </c>
      <c r="I1185" s="547"/>
      <c r="J1185" s="549"/>
      <c r="K1185" s="548"/>
      <c r="L1185" s="547"/>
      <c r="M1185" s="549"/>
      <c r="N1185" s="550"/>
      <c r="O1185" s="551"/>
    </row>
    <row r="1186" spans="1:15" s="552" customFormat="1" ht="15" customHeight="1" x14ac:dyDescent="0.25">
      <c r="A1186" s="543"/>
      <c r="B1186" s="544" t="s">
        <v>657</v>
      </c>
      <c r="C1186" s="513">
        <v>20006</v>
      </c>
      <c r="D1186" s="545" t="s">
        <v>711</v>
      </c>
      <c r="E1186" s="514" t="s">
        <v>56</v>
      </c>
      <c r="F1186" s="546">
        <v>10</v>
      </c>
      <c r="G1186" s="547">
        <v>4.51</v>
      </c>
      <c r="H1186" s="548">
        <f>F1186*G1186</f>
        <v>45.099999999999994</v>
      </c>
      <c r="I1186" s="547"/>
      <c r="J1186" s="549"/>
      <c r="K1186" s="548"/>
      <c r="L1186" s="547"/>
      <c r="M1186" s="549"/>
      <c r="N1186" s="550"/>
      <c r="O1186" s="551"/>
    </row>
    <row r="1187" spans="1:15" s="552" customFormat="1" ht="15" customHeight="1" x14ac:dyDescent="0.25">
      <c r="A1187" s="543"/>
      <c r="B1187" s="544" t="s">
        <v>658</v>
      </c>
      <c r="C1187" s="513">
        <v>20247</v>
      </c>
      <c r="D1187" s="545" t="s">
        <v>778</v>
      </c>
      <c r="E1187" s="514" t="s">
        <v>48</v>
      </c>
      <c r="F1187" s="546">
        <v>0.6</v>
      </c>
      <c r="G1187" s="547">
        <v>7.52</v>
      </c>
      <c r="H1187" s="548">
        <f>F1187*G1187</f>
        <v>4.5119999999999996</v>
      </c>
      <c r="I1187" s="547"/>
      <c r="J1187" s="549"/>
      <c r="K1187" s="548"/>
      <c r="L1187" s="547"/>
      <c r="M1187" s="549"/>
      <c r="N1187" s="550"/>
      <c r="O1187" s="551"/>
    </row>
    <row r="1188" spans="1:15" s="552" customFormat="1" ht="15" customHeight="1" x14ac:dyDescent="0.25">
      <c r="A1188" s="543"/>
      <c r="B1188" s="544"/>
      <c r="C1188" s="513"/>
      <c r="D1188" s="545"/>
      <c r="E1188" s="514"/>
      <c r="F1188" s="546"/>
      <c r="G1188" s="547"/>
      <c r="H1188" s="548"/>
      <c r="I1188" s="547"/>
      <c r="J1188" s="549"/>
      <c r="K1188" s="548"/>
      <c r="L1188" s="547"/>
      <c r="M1188" s="549"/>
      <c r="N1188" s="550"/>
      <c r="O1188" s="551"/>
    </row>
    <row r="1189" spans="1:15" s="23" customFormat="1" ht="33.75" x14ac:dyDescent="0.2">
      <c r="A1189" s="223" t="s">
        <v>78</v>
      </c>
      <c r="B1189" s="224" t="s">
        <v>716</v>
      </c>
      <c r="C1189" s="225" t="s">
        <v>553</v>
      </c>
      <c r="D1189" s="226" t="s">
        <v>752</v>
      </c>
      <c r="E1189" s="225" t="s">
        <v>81</v>
      </c>
      <c r="F1189" s="515">
        <v>5</v>
      </c>
      <c r="G1189" s="228"/>
      <c r="H1189" s="229">
        <f>ROUND(SUM(H1190:H1192),2)</f>
        <v>72.900000000000006</v>
      </c>
      <c r="I1189" s="229">
        <f>ROUND(SUM(I1190:I1192),2)</f>
        <v>28.39</v>
      </c>
      <c r="J1189" s="231">
        <f>(H1189+I1189)</f>
        <v>101.29</v>
      </c>
      <c r="K1189" s="229">
        <f>F1189*H1189</f>
        <v>364.5</v>
      </c>
      <c r="L1189" s="230">
        <f>F1189*I1189</f>
        <v>141.94999999999999</v>
      </c>
      <c r="M1189" s="231">
        <f>K1189+L1189</f>
        <v>506.45</v>
      </c>
      <c r="N1189" s="227">
        <f>M1189*$N$7</f>
        <v>137.14666</v>
      </c>
      <c r="O1189" s="227">
        <f>M1189+N1189</f>
        <v>643.59665999999993</v>
      </c>
    </row>
    <row r="1190" spans="1:15" s="552" customFormat="1" ht="15" customHeight="1" x14ac:dyDescent="0.25">
      <c r="A1190" s="543"/>
      <c r="B1190" s="544" t="s">
        <v>658</v>
      </c>
      <c r="C1190" s="513">
        <v>6117</v>
      </c>
      <c r="D1190" s="545" t="s">
        <v>682</v>
      </c>
      <c r="E1190" s="514" t="s">
        <v>42</v>
      </c>
      <c r="F1190" s="546">
        <v>1.3</v>
      </c>
      <c r="G1190" s="547">
        <v>9.4499999999999993</v>
      </c>
      <c r="H1190" s="548"/>
      <c r="I1190" s="547">
        <f t="shared" ref="I1190" si="157">F1190*G1190</f>
        <v>12.285</v>
      </c>
      <c r="J1190" s="549"/>
      <c r="K1190" s="548"/>
      <c r="L1190" s="547"/>
      <c r="M1190" s="549"/>
      <c r="N1190" s="550"/>
      <c r="O1190" s="551"/>
    </row>
    <row r="1191" spans="1:15" s="552" customFormat="1" ht="15" customHeight="1" x14ac:dyDescent="0.25">
      <c r="A1191" s="543"/>
      <c r="B1191" s="544" t="s">
        <v>715</v>
      </c>
      <c r="C1191" s="513">
        <v>1214</v>
      </c>
      <c r="D1191" s="545" t="s">
        <v>713</v>
      </c>
      <c r="E1191" s="514" t="s">
        <v>42</v>
      </c>
      <c r="F1191" s="546">
        <v>1.3</v>
      </c>
      <c r="G1191" s="547">
        <v>12.39</v>
      </c>
      <c r="H1191" s="548"/>
      <c r="I1191" s="547">
        <f>F1191*G1191</f>
        <v>16.107000000000003</v>
      </c>
      <c r="J1191" s="549"/>
      <c r="K1191" s="548"/>
      <c r="L1191" s="547"/>
      <c r="M1191" s="549"/>
      <c r="N1191" s="550"/>
      <c r="O1191" s="551"/>
    </row>
    <row r="1192" spans="1:15" s="552" customFormat="1" ht="15" customHeight="1" x14ac:dyDescent="0.25">
      <c r="A1192" s="543"/>
      <c r="B1192" s="544"/>
      <c r="C1192" s="513" t="s">
        <v>80</v>
      </c>
      <c r="D1192" s="545" t="s">
        <v>717</v>
      </c>
      <c r="E1192" s="514" t="s">
        <v>41</v>
      </c>
      <c r="F1192" s="546">
        <v>1</v>
      </c>
      <c r="G1192" s="547">
        <v>72.900000000000006</v>
      </c>
      <c r="H1192" s="548">
        <f t="shared" ref="H1192" si="158">F1192*G1192</f>
        <v>72.900000000000006</v>
      </c>
      <c r="I1192" s="547"/>
      <c r="J1192" s="549"/>
      <c r="K1192" s="548"/>
      <c r="L1192" s="547"/>
      <c r="M1192" s="549"/>
      <c r="N1192" s="550"/>
      <c r="O1192" s="551"/>
    </row>
    <row r="1193" spans="1:15" s="552" customFormat="1" ht="15" customHeight="1" x14ac:dyDescent="0.25">
      <c r="A1193" s="543"/>
      <c r="B1193" s="544"/>
      <c r="C1193" s="513"/>
      <c r="D1193" s="545"/>
      <c r="E1193" s="514"/>
      <c r="F1193" s="546"/>
      <c r="G1193" s="547"/>
      <c r="H1193" s="548"/>
      <c r="I1193" s="547"/>
      <c r="J1193" s="549"/>
      <c r="K1193" s="548"/>
      <c r="L1193" s="547"/>
      <c r="M1193" s="549"/>
      <c r="N1193" s="550"/>
      <c r="O1193" s="551"/>
    </row>
    <row r="1194" spans="1:15" s="23" customFormat="1" ht="22.5" x14ac:dyDescent="0.2">
      <c r="A1194" s="224" t="s">
        <v>78</v>
      </c>
      <c r="B1194" s="224" t="s">
        <v>783</v>
      </c>
      <c r="C1194" s="225" t="s">
        <v>554</v>
      </c>
      <c r="D1194" s="226" t="s">
        <v>1119</v>
      </c>
      <c r="E1194" s="225" t="s">
        <v>58</v>
      </c>
      <c r="F1194" s="515">
        <f>'MEMÓRIA DE CÁLCULO'!F264</f>
        <v>6.6000000000000005</v>
      </c>
      <c r="G1194" s="228"/>
      <c r="H1194" s="229">
        <f>ROUND(SUM(H1195:H1198),2)</f>
        <v>628.52</v>
      </c>
      <c r="I1194" s="229">
        <f>ROUND(SUM(I1195:I1198),2)</f>
        <v>36.299999999999997</v>
      </c>
      <c r="J1194" s="231">
        <f>(H1194+I1194)</f>
        <v>664.81999999999994</v>
      </c>
      <c r="K1194" s="229">
        <f>F1194*H1194</f>
        <v>4148.232</v>
      </c>
      <c r="L1194" s="230">
        <f>F1194*I1194</f>
        <v>239.58</v>
      </c>
      <c r="M1194" s="231">
        <f>K1194+L1194</f>
        <v>4387.8119999999999</v>
      </c>
      <c r="N1194" s="227">
        <f>M1194*$N$7</f>
        <v>1188.2194895999999</v>
      </c>
      <c r="O1194" s="227">
        <f>M1194+N1194</f>
        <v>5576.0314896</v>
      </c>
    </row>
    <row r="1195" spans="1:15" s="552" customFormat="1" ht="15" customHeight="1" x14ac:dyDescent="0.25">
      <c r="A1195" s="543"/>
      <c r="B1195" s="544" t="s">
        <v>715</v>
      </c>
      <c r="C1195" s="513">
        <v>4750</v>
      </c>
      <c r="D1195" s="545" t="s">
        <v>714</v>
      </c>
      <c r="E1195" s="514" t="s">
        <v>42</v>
      </c>
      <c r="F1195" s="546">
        <v>0.5</v>
      </c>
      <c r="G1195" s="547">
        <v>12.57</v>
      </c>
      <c r="H1195" s="548"/>
      <c r="I1195" s="547">
        <f t="shared" ref="I1195:I1197" si="159">F1195*G1195</f>
        <v>6.2850000000000001</v>
      </c>
      <c r="J1195" s="549"/>
      <c r="K1195" s="548"/>
      <c r="L1195" s="547"/>
      <c r="M1195" s="549"/>
      <c r="N1195" s="550"/>
      <c r="O1195" s="551"/>
    </row>
    <row r="1196" spans="1:15" s="552" customFormat="1" ht="15" customHeight="1" x14ac:dyDescent="0.25">
      <c r="A1196" s="543"/>
      <c r="B1196" s="544" t="s">
        <v>715</v>
      </c>
      <c r="C1196" s="513">
        <v>6110</v>
      </c>
      <c r="D1196" s="545" t="s">
        <v>780</v>
      </c>
      <c r="E1196" s="514" t="s">
        <v>42</v>
      </c>
      <c r="F1196" s="546">
        <v>1.1000000000000001</v>
      </c>
      <c r="G1196" s="547">
        <v>11.88</v>
      </c>
      <c r="H1196" s="548"/>
      <c r="I1196" s="547">
        <f t="shared" ref="I1196" si="160">F1196*G1196</f>
        <v>13.068000000000001</v>
      </c>
      <c r="J1196" s="549"/>
      <c r="K1196" s="548"/>
      <c r="L1196" s="547"/>
      <c r="M1196" s="549"/>
      <c r="N1196" s="550"/>
      <c r="O1196" s="551"/>
    </row>
    <row r="1197" spans="1:15" s="552" customFormat="1" ht="15" customHeight="1" x14ac:dyDescent="0.25">
      <c r="A1197" s="543"/>
      <c r="B1197" s="544" t="s">
        <v>658</v>
      </c>
      <c r="C1197" s="513">
        <v>6111</v>
      </c>
      <c r="D1197" s="545" t="s">
        <v>670</v>
      </c>
      <c r="E1197" s="514" t="s">
        <v>42</v>
      </c>
      <c r="F1197" s="546">
        <v>1.9</v>
      </c>
      <c r="G1197" s="547">
        <v>8.92</v>
      </c>
      <c r="H1197" s="548"/>
      <c r="I1197" s="547">
        <f t="shared" si="159"/>
        <v>16.948</v>
      </c>
      <c r="J1197" s="549"/>
      <c r="K1197" s="548"/>
      <c r="L1197" s="547"/>
      <c r="M1197" s="549"/>
      <c r="N1197" s="550"/>
      <c r="O1197" s="551"/>
    </row>
    <row r="1198" spans="1:15" s="552" customFormat="1" ht="21" customHeight="1" x14ac:dyDescent="0.25">
      <c r="A1198" s="543"/>
      <c r="B1198" s="544"/>
      <c r="C1198" s="513">
        <v>598</v>
      </c>
      <c r="D1198" s="545" t="s">
        <v>784</v>
      </c>
      <c r="E1198" s="514" t="s">
        <v>233</v>
      </c>
      <c r="F1198" s="546">
        <v>1</v>
      </c>
      <c r="G1198" s="547">
        <v>628.52</v>
      </c>
      <c r="H1198" s="548">
        <f>F1198*G1198</f>
        <v>628.52</v>
      </c>
      <c r="I1198" s="547"/>
      <c r="J1198" s="549"/>
      <c r="K1198" s="548"/>
      <c r="L1198" s="547"/>
      <c r="M1198" s="549"/>
      <c r="N1198" s="550"/>
      <c r="O1198" s="551"/>
    </row>
    <row r="1199" spans="1:15" s="23" customFormat="1" ht="14.25" x14ac:dyDescent="0.2">
      <c r="A1199" s="136"/>
      <c r="B1199" s="128"/>
      <c r="C1199" s="32"/>
      <c r="D1199" s="123"/>
      <c r="E1199" s="32"/>
      <c r="F1199" s="481"/>
      <c r="G1199" s="482"/>
      <c r="H1199" s="483"/>
      <c r="I1199" s="484"/>
      <c r="J1199" s="485"/>
      <c r="K1199" s="483"/>
      <c r="L1199" s="484"/>
      <c r="M1199" s="485"/>
      <c r="N1199" s="92"/>
      <c r="O1199" s="92"/>
    </row>
    <row r="1200" spans="1:15" s="23" customFormat="1" ht="22.5" x14ac:dyDescent="0.2">
      <c r="A1200" s="223" t="s">
        <v>78</v>
      </c>
      <c r="B1200" s="224">
        <v>68052</v>
      </c>
      <c r="C1200" s="225" t="s">
        <v>823</v>
      </c>
      <c r="D1200" s="226" t="s">
        <v>1115</v>
      </c>
      <c r="E1200" s="225" t="s">
        <v>27</v>
      </c>
      <c r="F1200" s="515">
        <f>'MEMÓRIA DE CÁLCULO'!F262</f>
        <v>0.54</v>
      </c>
      <c r="G1200" s="228"/>
      <c r="H1200" s="229">
        <f>ROUND(SUM(H1201:H1205),2)</f>
        <v>577.66999999999996</v>
      </c>
      <c r="I1200" s="229">
        <f>ROUND(SUM(I1201:I1205),2)</f>
        <v>23.98</v>
      </c>
      <c r="J1200" s="231">
        <f>(H1200+I1200)</f>
        <v>601.65</v>
      </c>
      <c r="K1200" s="229">
        <f>F1200*H1200</f>
        <v>311.9418</v>
      </c>
      <c r="L1200" s="230">
        <f>F1200*I1200</f>
        <v>12.949200000000001</v>
      </c>
      <c r="M1200" s="231">
        <f>K1200+L1200</f>
        <v>324.89100000000002</v>
      </c>
      <c r="N1200" s="227">
        <f>M1200*$N$7</f>
        <v>87.980482800000004</v>
      </c>
      <c r="O1200" s="227">
        <f>M1200+N1200</f>
        <v>412.87148280000002</v>
      </c>
    </row>
    <row r="1201" spans="1:15" s="552" customFormat="1" ht="15" customHeight="1" x14ac:dyDescent="0.25">
      <c r="A1201" s="543"/>
      <c r="B1201" s="544" t="s">
        <v>715</v>
      </c>
      <c r="C1201" s="513">
        <v>4750</v>
      </c>
      <c r="D1201" s="545" t="s">
        <v>714</v>
      </c>
      <c r="E1201" s="514" t="s">
        <v>42</v>
      </c>
      <c r="F1201" s="546">
        <v>0.3</v>
      </c>
      <c r="G1201" s="547">
        <v>12.57</v>
      </c>
      <c r="H1201" s="548"/>
      <c r="I1201" s="547">
        <f t="shared" ref="I1201:I1203" si="161">F1201*G1201</f>
        <v>3.7709999999999999</v>
      </c>
      <c r="J1201" s="549"/>
      <c r="K1201" s="548"/>
      <c r="L1201" s="547"/>
      <c r="M1201" s="549"/>
      <c r="N1201" s="550"/>
      <c r="O1201" s="551"/>
    </row>
    <row r="1202" spans="1:15" s="552" customFormat="1" ht="15" customHeight="1" x14ac:dyDescent="0.25">
      <c r="A1202" s="543"/>
      <c r="B1202" s="544" t="s">
        <v>715</v>
      </c>
      <c r="C1202" s="513">
        <v>6110</v>
      </c>
      <c r="D1202" s="545" t="s">
        <v>780</v>
      </c>
      <c r="E1202" s="514" t="s">
        <v>42</v>
      </c>
      <c r="F1202" s="546">
        <v>0.8</v>
      </c>
      <c r="G1202" s="547">
        <v>11.88</v>
      </c>
      <c r="H1202" s="548"/>
      <c r="I1202" s="547">
        <f t="shared" si="161"/>
        <v>9.5040000000000013</v>
      </c>
      <c r="J1202" s="549"/>
      <c r="K1202" s="548"/>
      <c r="L1202" s="547"/>
      <c r="M1202" s="549"/>
      <c r="N1202" s="550"/>
      <c r="O1202" s="551"/>
    </row>
    <row r="1203" spans="1:15" s="552" customFormat="1" ht="15" customHeight="1" x14ac:dyDescent="0.25">
      <c r="A1203" s="543"/>
      <c r="B1203" s="544" t="s">
        <v>658</v>
      </c>
      <c r="C1203" s="513">
        <v>6111</v>
      </c>
      <c r="D1203" s="545" t="s">
        <v>670</v>
      </c>
      <c r="E1203" s="514" t="s">
        <v>42</v>
      </c>
      <c r="F1203" s="546">
        <v>1.2</v>
      </c>
      <c r="G1203" s="547">
        <v>8.92</v>
      </c>
      <c r="H1203" s="548"/>
      <c r="I1203" s="547">
        <f t="shared" si="161"/>
        <v>10.703999999999999</v>
      </c>
      <c r="J1203" s="549"/>
      <c r="K1203" s="548"/>
      <c r="L1203" s="547"/>
      <c r="M1203" s="549"/>
      <c r="N1203" s="550"/>
      <c r="O1203" s="551"/>
    </row>
    <row r="1204" spans="1:15" s="552" customFormat="1" ht="15" customHeight="1" x14ac:dyDescent="0.25">
      <c r="A1204" s="543"/>
      <c r="B1204" s="544"/>
      <c r="C1204" s="513">
        <v>581</v>
      </c>
      <c r="D1204" s="545" t="s">
        <v>781</v>
      </c>
      <c r="E1204" s="514" t="s">
        <v>233</v>
      </c>
      <c r="F1204" s="546">
        <v>1</v>
      </c>
      <c r="G1204" s="547">
        <v>505.67</v>
      </c>
      <c r="H1204" s="548">
        <f>F1204*G1204</f>
        <v>505.67</v>
      </c>
      <c r="I1204" s="547"/>
      <c r="J1204" s="549"/>
      <c r="K1204" s="548"/>
      <c r="L1204" s="547"/>
      <c r="M1204" s="549"/>
      <c r="N1204" s="550"/>
      <c r="O1204" s="551"/>
    </row>
    <row r="1205" spans="1:15" s="552" customFormat="1" ht="15" customHeight="1" x14ac:dyDescent="0.25">
      <c r="A1205" s="543"/>
      <c r="B1205" s="544"/>
      <c r="C1205" s="513">
        <v>10492</v>
      </c>
      <c r="D1205" s="545" t="s">
        <v>1117</v>
      </c>
      <c r="E1205" s="514" t="s">
        <v>233</v>
      </c>
      <c r="F1205" s="546">
        <v>1</v>
      </c>
      <c r="G1205" s="547">
        <v>72</v>
      </c>
      <c r="H1205" s="548">
        <f>F1205*G1205</f>
        <v>72</v>
      </c>
      <c r="I1205" s="547"/>
      <c r="J1205" s="549"/>
      <c r="K1205" s="548"/>
      <c r="L1205" s="547"/>
      <c r="M1205" s="549"/>
      <c r="N1205" s="550"/>
      <c r="O1205" s="551"/>
    </row>
    <row r="1206" spans="1:15" s="23" customFormat="1" ht="14.25" x14ac:dyDescent="0.2">
      <c r="A1206" s="136"/>
      <c r="B1206" s="128"/>
      <c r="C1206" s="32"/>
      <c r="D1206" s="123"/>
      <c r="E1206" s="32"/>
      <c r="F1206" s="481"/>
      <c r="G1206" s="482"/>
      <c r="H1206" s="483"/>
      <c r="I1206" s="484"/>
      <c r="J1206" s="485"/>
      <c r="K1206" s="483"/>
      <c r="L1206" s="484"/>
      <c r="M1206" s="485"/>
      <c r="N1206" s="92"/>
      <c r="O1206" s="92"/>
    </row>
    <row r="1207" spans="1:15" s="23" customFormat="1" ht="22.5" x14ac:dyDescent="0.2">
      <c r="A1207" s="223" t="s">
        <v>78</v>
      </c>
      <c r="B1207" s="224">
        <v>68052</v>
      </c>
      <c r="C1207" s="225" t="s">
        <v>988</v>
      </c>
      <c r="D1207" s="226" t="s">
        <v>1116</v>
      </c>
      <c r="E1207" s="225" t="s">
        <v>27</v>
      </c>
      <c r="F1207" s="515">
        <f>'MEMÓRIA DE CÁLCULO'!F263</f>
        <v>0.72</v>
      </c>
      <c r="G1207" s="228"/>
      <c r="H1207" s="229">
        <f>ROUND(SUM(H1208:H1212),2)</f>
        <v>577.66999999999996</v>
      </c>
      <c r="I1207" s="229">
        <f>ROUND(SUM(I1208:I1212),2)</f>
        <v>23.98</v>
      </c>
      <c r="J1207" s="231">
        <f>(H1207+I1207)</f>
        <v>601.65</v>
      </c>
      <c r="K1207" s="229">
        <f>F1207*H1207</f>
        <v>415.92239999999998</v>
      </c>
      <c r="L1207" s="230">
        <f>F1207*I1207</f>
        <v>17.265599999999999</v>
      </c>
      <c r="M1207" s="231">
        <f>K1207+L1207</f>
        <v>433.18799999999999</v>
      </c>
      <c r="N1207" s="227">
        <f>M1207*$N$7</f>
        <v>117.30731039999999</v>
      </c>
      <c r="O1207" s="227">
        <f>M1207+N1207</f>
        <v>550.49531039999999</v>
      </c>
    </row>
    <row r="1208" spans="1:15" s="552" customFormat="1" ht="15" customHeight="1" x14ac:dyDescent="0.25">
      <c r="A1208" s="543"/>
      <c r="B1208" s="544" t="s">
        <v>715</v>
      </c>
      <c r="C1208" s="513">
        <v>4750</v>
      </c>
      <c r="D1208" s="545" t="s">
        <v>714</v>
      </c>
      <c r="E1208" s="514" t="s">
        <v>42</v>
      </c>
      <c r="F1208" s="546">
        <v>0.3</v>
      </c>
      <c r="G1208" s="547">
        <v>12.57</v>
      </c>
      <c r="H1208" s="548"/>
      <c r="I1208" s="547">
        <f t="shared" ref="I1208:I1210" si="162">F1208*G1208</f>
        <v>3.7709999999999999</v>
      </c>
      <c r="J1208" s="549"/>
      <c r="K1208" s="548"/>
      <c r="L1208" s="547"/>
      <c r="M1208" s="549"/>
      <c r="N1208" s="550"/>
      <c r="O1208" s="551"/>
    </row>
    <row r="1209" spans="1:15" s="552" customFormat="1" ht="15" customHeight="1" x14ac:dyDescent="0.25">
      <c r="A1209" s="543"/>
      <c r="B1209" s="544" t="s">
        <v>715</v>
      </c>
      <c r="C1209" s="513">
        <v>6110</v>
      </c>
      <c r="D1209" s="545" t="s">
        <v>780</v>
      </c>
      <c r="E1209" s="514" t="s">
        <v>42</v>
      </c>
      <c r="F1209" s="546">
        <v>0.8</v>
      </c>
      <c r="G1209" s="547">
        <v>11.88</v>
      </c>
      <c r="H1209" s="548"/>
      <c r="I1209" s="547">
        <f t="shared" si="162"/>
        <v>9.5040000000000013</v>
      </c>
      <c r="J1209" s="549"/>
      <c r="K1209" s="548"/>
      <c r="L1209" s="547"/>
      <c r="M1209" s="549"/>
      <c r="N1209" s="550"/>
      <c r="O1209" s="551"/>
    </row>
    <row r="1210" spans="1:15" s="552" customFormat="1" ht="15" customHeight="1" x14ac:dyDescent="0.25">
      <c r="A1210" s="543"/>
      <c r="B1210" s="544" t="s">
        <v>658</v>
      </c>
      <c r="C1210" s="513">
        <v>6111</v>
      </c>
      <c r="D1210" s="545" t="s">
        <v>670</v>
      </c>
      <c r="E1210" s="514" t="s">
        <v>42</v>
      </c>
      <c r="F1210" s="546">
        <v>1.2</v>
      </c>
      <c r="G1210" s="547">
        <v>8.92</v>
      </c>
      <c r="H1210" s="548"/>
      <c r="I1210" s="547">
        <f t="shared" si="162"/>
        <v>10.703999999999999</v>
      </c>
      <c r="J1210" s="549"/>
      <c r="K1210" s="548"/>
      <c r="L1210" s="547"/>
      <c r="M1210" s="549"/>
      <c r="N1210" s="550"/>
      <c r="O1210" s="551"/>
    </row>
    <row r="1211" spans="1:15" s="552" customFormat="1" ht="15" customHeight="1" x14ac:dyDescent="0.25">
      <c r="A1211" s="543"/>
      <c r="B1211" s="544"/>
      <c r="C1211" s="513">
        <v>581</v>
      </c>
      <c r="D1211" s="545" t="s">
        <v>781</v>
      </c>
      <c r="E1211" s="514" t="s">
        <v>233</v>
      </c>
      <c r="F1211" s="546">
        <v>1</v>
      </c>
      <c r="G1211" s="547">
        <v>505.67</v>
      </c>
      <c r="H1211" s="548">
        <f>F1211*G1211</f>
        <v>505.67</v>
      </c>
      <c r="I1211" s="547"/>
      <c r="J1211" s="549"/>
      <c r="K1211" s="548"/>
      <c r="L1211" s="547"/>
      <c r="M1211" s="549"/>
      <c r="N1211" s="550"/>
      <c r="O1211" s="551"/>
    </row>
    <row r="1212" spans="1:15" s="552" customFormat="1" ht="15" customHeight="1" x14ac:dyDescent="0.25">
      <c r="A1212" s="543"/>
      <c r="B1212" s="544"/>
      <c r="C1212" s="513">
        <v>10492</v>
      </c>
      <c r="D1212" s="545" t="s">
        <v>978</v>
      </c>
      <c r="E1212" s="514" t="s">
        <v>233</v>
      </c>
      <c r="F1212" s="546">
        <v>1</v>
      </c>
      <c r="G1212" s="547">
        <v>72</v>
      </c>
      <c r="H1212" s="548">
        <f>F1212*G1212</f>
        <v>72</v>
      </c>
      <c r="I1212" s="547"/>
      <c r="J1212" s="549"/>
      <c r="K1212" s="548"/>
      <c r="L1212" s="547"/>
      <c r="M1212" s="549"/>
      <c r="N1212" s="550"/>
      <c r="O1212" s="551"/>
    </row>
    <row r="1213" spans="1:15" s="23" customFormat="1" ht="14.25" x14ac:dyDescent="0.2">
      <c r="A1213" s="136"/>
      <c r="B1213" s="128"/>
      <c r="C1213" s="32"/>
      <c r="D1213" s="123"/>
      <c r="E1213" s="32"/>
      <c r="F1213" s="481"/>
      <c r="G1213" s="482"/>
      <c r="H1213" s="483"/>
      <c r="I1213" s="484"/>
      <c r="J1213" s="485"/>
      <c r="K1213" s="483"/>
      <c r="L1213" s="484"/>
      <c r="M1213" s="485"/>
      <c r="N1213" s="92"/>
      <c r="O1213" s="92"/>
    </row>
    <row r="1214" spans="1:15" s="23" customFormat="1" ht="22.5" x14ac:dyDescent="0.2">
      <c r="A1214" s="223" t="s">
        <v>78</v>
      </c>
      <c r="B1214" s="224">
        <v>85010</v>
      </c>
      <c r="C1214" s="225" t="s">
        <v>989</v>
      </c>
      <c r="D1214" s="226" t="s">
        <v>1118</v>
      </c>
      <c r="E1214" s="225" t="s">
        <v>27</v>
      </c>
      <c r="F1214" s="515">
        <f>'MEMÓRIA DE CÁLCULO'!F265</f>
        <v>1.1000000000000001</v>
      </c>
      <c r="G1214" s="228"/>
      <c r="H1214" s="229">
        <f>ROUND(SUM(H1215:H1219),2)</f>
        <v>510.73</v>
      </c>
      <c r="I1214" s="229">
        <f>ROUND(SUM(I1215:I1219),2)</f>
        <v>23.98</v>
      </c>
      <c r="J1214" s="231">
        <f>(H1214+I1214)</f>
        <v>534.71</v>
      </c>
      <c r="K1214" s="229">
        <f>F1214*H1214</f>
        <v>561.80300000000011</v>
      </c>
      <c r="L1214" s="230">
        <f>F1214*I1214</f>
        <v>26.378000000000004</v>
      </c>
      <c r="M1214" s="231">
        <f>K1214+L1214</f>
        <v>588.18100000000015</v>
      </c>
      <c r="N1214" s="227">
        <f>M1214*$N$7</f>
        <v>159.27941480000004</v>
      </c>
      <c r="O1214" s="227">
        <f>M1214+N1214</f>
        <v>747.46041480000019</v>
      </c>
    </row>
    <row r="1215" spans="1:15" s="552" customFormat="1" ht="15" customHeight="1" x14ac:dyDescent="0.25">
      <c r="A1215" s="543"/>
      <c r="B1215" s="544" t="s">
        <v>715</v>
      </c>
      <c r="C1215" s="513">
        <v>4750</v>
      </c>
      <c r="D1215" s="545" t="s">
        <v>714</v>
      </c>
      <c r="E1215" s="514" t="s">
        <v>42</v>
      </c>
      <c r="F1215" s="546">
        <v>0.3</v>
      </c>
      <c r="G1215" s="547">
        <v>12.57</v>
      </c>
      <c r="H1215" s="548"/>
      <c r="I1215" s="547">
        <f t="shared" ref="I1215:I1217" si="163">F1215*G1215</f>
        <v>3.7709999999999999</v>
      </c>
      <c r="J1215" s="549"/>
      <c r="K1215" s="548"/>
      <c r="L1215" s="547"/>
      <c r="M1215" s="549"/>
      <c r="N1215" s="550"/>
      <c r="O1215" s="551"/>
    </row>
    <row r="1216" spans="1:15" s="552" customFormat="1" ht="15" customHeight="1" x14ac:dyDescent="0.25">
      <c r="A1216" s="543"/>
      <c r="B1216" s="544" t="s">
        <v>715</v>
      </c>
      <c r="C1216" s="513">
        <v>6110</v>
      </c>
      <c r="D1216" s="545" t="s">
        <v>780</v>
      </c>
      <c r="E1216" s="514" t="s">
        <v>42</v>
      </c>
      <c r="F1216" s="546">
        <v>0.8</v>
      </c>
      <c r="G1216" s="547">
        <v>11.88</v>
      </c>
      <c r="H1216" s="548"/>
      <c r="I1216" s="547">
        <f t="shared" si="163"/>
        <v>9.5040000000000013</v>
      </c>
      <c r="J1216" s="549"/>
      <c r="K1216" s="548"/>
      <c r="L1216" s="547"/>
      <c r="M1216" s="549"/>
      <c r="N1216" s="550"/>
      <c r="O1216" s="551"/>
    </row>
    <row r="1217" spans="1:15" s="552" customFormat="1" ht="15" customHeight="1" x14ac:dyDescent="0.25">
      <c r="A1217" s="543"/>
      <c r="B1217" s="544" t="s">
        <v>658</v>
      </c>
      <c r="C1217" s="513">
        <v>6111</v>
      </c>
      <c r="D1217" s="545" t="s">
        <v>670</v>
      </c>
      <c r="E1217" s="514" t="s">
        <v>42</v>
      </c>
      <c r="F1217" s="546">
        <v>1.2</v>
      </c>
      <c r="G1217" s="547">
        <v>8.92</v>
      </c>
      <c r="H1217" s="548"/>
      <c r="I1217" s="547">
        <f t="shared" si="163"/>
        <v>10.703999999999999</v>
      </c>
      <c r="J1217" s="549"/>
      <c r="K1217" s="548"/>
      <c r="L1217" s="547"/>
      <c r="M1217" s="549"/>
      <c r="N1217" s="550"/>
      <c r="O1217" s="551"/>
    </row>
    <row r="1218" spans="1:15" s="552" customFormat="1" ht="15" customHeight="1" x14ac:dyDescent="0.25">
      <c r="A1218" s="543"/>
      <c r="B1218" s="544"/>
      <c r="C1218" s="513">
        <v>599</v>
      </c>
      <c r="D1218" s="545" t="s">
        <v>977</v>
      </c>
      <c r="E1218" s="514" t="s">
        <v>233</v>
      </c>
      <c r="F1218" s="546">
        <v>1</v>
      </c>
      <c r="G1218" s="547">
        <v>438.73</v>
      </c>
      <c r="H1218" s="548">
        <f>F1218*G1218</f>
        <v>438.73</v>
      </c>
      <c r="I1218" s="547"/>
      <c r="J1218" s="549"/>
      <c r="K1218" s="548"/>
      <c r="L1218" s="547"/>
      <c r="M1218" s="549"/>
      <c r="N1218" s="550"/>
      <c r="O1218" s="551"/>
    </row>
    <row r="1219" spans="1:15" s="552" customFormat="1" ht="15" customHeight="1" x14ac:dyDescent="0.25">
      <c r="A1219" s="543"/>
      <c r="B1219" s="544"/>
      <c r="C1219" s="513">
        <v>10492</v>
      </c>
      <c r="D1219" s="545" t="s">
        <v>782</v>
      </c>
      <c r="E1219" s="514" t="s">
        <v>233</v>
      </c>
      <c r="F1219" s="546">
        <v>1</v>
      </c>
      <c r="G1219" s="547">
        <v>72</v>
      </c>
      <c r="H1219" s="548">
        <f>F1219*G1219</f>
        <v>72</v>
      </c>
      <c r="I1219" s="547"/>
      <c r="J1219" s="549"/>
      <c r="K1219" s="548"/>
      <c r="L1219" s="547"/>
      <c r="M1219" s="549"/>
      <c r="N1219" s="550"/>
      <c r="O1219" s="551"/>
    </row>
    <row r="1220" spans="1:15" s="23" customFormat="1" ht="14.25" x14ac:dyDescent="0.2">
      <c r="A1220" s="136"/>
      <c r="B1220" s="128"/>
      <c r="C1220" s="32"/>
      <c r="D1220" s="123"/>
      <c r="E1220" s="32"/>
      <c r="F1220" s="481"/>
      <c r="G1220" s="482"/>
      <c r="H1220" s="483"/>
      <c r="I1220" s="484"/>
      <c r="J1220" s="485"/>
      <c r="K1220" s="483"/>
      <c r="L1220" s="484"/>
      <c r="M1220" s="485"/>
      <c r="N1220" s="92"/>
      <c r="O1220" s="92"/>
    </row>
    <row r="1221" spans="1:15" s="266" customFormat="1" ht="12.75" x14ac:dyDescent="0.2">
      <c r="A1221" s="516"/>
      <c r="B1221" s="517"/>
      <c r="C1221" s="518" t="s">
        <v>555</v>
      </c>
      <c r="D1221" s="519" t="s">
        <v>106</v>
      </c>
      <c r="E1221" s="520"/>
      <c r="F1221" s="519"/>
      <c r="G1221" s="520"/>
      <c r="H1221" s="521"/>
      <c r="I1221" s="522"/>
      <c r="J1221" s="523"/>
      <c r="K1221" s="521"/>
      <c r="L1221" s="522"/>
      <c r="M1221" s="523"/>
      <c r="N1221" s="524"/>
      <c r="O1221" s="525">
        <f>SUM(O1223:O1237)</f>
        <v>5901.3417008159995</v>
      </c>
    </row>
    <row r="1222" spans="1:15" s="23" customFormat="1" ht="14.25" x14ac:dyDescent="0.2">
      <c r="A1222" s="134"/>
      <c r="B1222" s="129"/>
      <c r="C1222" s="29"/>
      <c r="D1222" s="117" t="s">
        <v>83</v>
      </c>
      <c r="E1222" s="30"/>
      <c r="F1222" s="118"/>
      <c r="G1222" s="31"/>
      <c r="H1222" s="104"/>
      <c r="I1222" s="27"/>
      <c r="J1222" s="105"/>
      <c r="K1222" s="104"/>
      <c r="L1222" s="27"/>
      <c r="M1222" s="105"/>
      <c r="N1222" s="92"/>
      <c r="O1222" s="92"/>
    </row>
    <row r="1223" spans="1:15" s="23" customFormat="1" ht="33.75" x14ac:dyDescent="0.2">
      <c r="A1223" s="223" t="s">
        <v>78</v>
      </c>
      <c r="B1223" s="224">
        <v>87272</v>
      </c>
      <c r="C1223" s="225" t="s">
        <v>556</v>
      </c>
      <c r="D1223" s="226" t="s">
        <v>484</v>
      </c>
      <c r="E1223" s="225" t="s">
        <v>94</v>
      </c>
      <c r="F1223" s="515">
        <f>'MEMÓRIA DE CÁLCULO'!I238</f>
        <v>80.042000000000002</v>
      </c>
      <c r="G1223" s="228"/>
      <c r="H1223" s="229">
        <f>ROUND(SUM(H1224:H1228),2)</f>
        <v>25.09</v>
      </c>
      <c r="I1223" s="229">
        <f>ROUND(SUM(I1224:I1228),2)</f>
        <v>15.37</v>
      </c>
      <c r="J1223" s="231">
        <f>(H1223+I1223)</f>
        <v>40.46</v>
      </c>
      <c r="K1223" s="229">
        <f>F1223*H1223</f>
        <v>2008.25378</v>
      </c>
      <c r="L1223" s="230">
        <f>F1223*I1223</f>
        <v>1230.2455399999999</v>
      </c>
      <c r="M1223" s="231">
        <f>K1223+L1223</f>
        <v>3238.4993199999999</v>
      </c>
      <c r="N1223" s="227">
        <f>M1223*$N$7</f>
        <v>876.98561585599987</v>
      </c>
      <c r="O1223" s="227">
        <f>M1223+N1223</f>
        <v>4115.4849358559995</v>
      </c>
    </row>
    <row r="1224" spans="1:15" s="552" customFormat="1" ht="15" customHeight="1" x14ac:dyDescent="0.25">
      <c r="A1224" s="543"/>
      <c r="B1224" s="544" t="s">
        <v>715</v>
      </c>
      <c r="C1224" s="513">
        <v>4760</v>
      </c>
      <c r="D1224" s="545" t="s">
        <v>727</v>
      </c>
      <c r="E1224" s="514" t="s">
        <v>42</v>
      </c>
      <c r="F1224" s="546">
        <v>0.97</v>
      </c>
      <c r="G1224" s="547">
        <v>11.43</v>
      </c>
      <c r="H1224" s="548"/>
      <c r="I1224" s="547">
        <f>F1224*G1224</f>
        <v>11.0871</v>
      </c>
      <c r="J1224" s="549"/>
      <c r="K1224" s="548"/>
      <c r="L1224" s="547"/>
      <c r="M1224" s="549"/>
      <c r="N1224" s="550"/>
      <c r="O1224" s="551"/>
    </row>
    <row r="1225" spans="1:15" s="552" customFormat="1" ht="15" customHeight="1" x14ac:dyDescent="0.25">
      <c r="A1225" s="543"/>
      <c r="B1225" s="544" t="s">
        <v>658</v>
      </c>
      <c r="C1225" s="513">
        <v>6111</v>
      </c>
      <c r="D1225" s="545" t="s">
        <v>670</v>
      </c>
      <c r="E1225" s="514" t="s">
        <v>42</v>
      </c>
      <c r="F1225" s="546">
        <v>0.48</v>
      </c>
      <c r="G1225" s="547">
        <v>8.92</v>
      </c>
      <c r="H1225" s="548"/>
      <c r="I1225" s="547">
        <f t="shared" ref="I1225" si="164">F1225*G1225</f>
        <v>4.2816000000000001</v>
      </c>
      <c r="J1225" s="549"/>
      <c r="K1225" s="548"/>
      <c r="L1225" s="547"/>
      <c r="M1225" s="549"/>
      <c r="N1225" s="550"/>
      <c r="O1225" s="551"/>
    </row>
    <row r="1226" spans="1:15" s="552" customFormat="1" ht="21" customHeight="1" x14ac:dyDescent="0.25">
      <c r="A1226" s="543"/>
      <c r="B1226" s="544" t="s">
        <v>657</v>
      </c>
      <c r="C1226" s="513">
        <v>536</v>
      </c>
      <c r="D1226" s="545" t="str">
        <f>D1223</f>
        <v>Revestimento em azulejo 33 x 45 cm - referência técnica: ELIANE ou similar, linha Forma cor branco brilhante - fixado com argamassa colante e rejuntamento com rejunte flexível branco antifungo.</v>
      </c>
      <c r="E1226" s="514" t="s">
        <v>27</v>
      </c>
      <c r="F1226" s="546">
        <v>1.08</v>
      </c>
      <c r="G1226" s="547">
        <v>20.3</v>
      </c>
      <c r="H1226" s="548">
        <f t="shared" ref="H1226" si="165">F1226*G1226</f>
        <v>21.924000000000003</v>
      </c>
      <c r="I1226" s="547"/>
      <c r="J1226" s="549"/>
      <c r="K1226" s="548"/>
      <c r="L1226" s="547"/>
      <c r="M1226" s="549"/>
      <c r="N1226" s="550"/>
      <c r="O1226" s="551"/>
    </row>
    <row r="1227" spans="1:15" s="552" customFormat="1" ht="15" customHeight="1" x14ac:dyDescent="0.25">
      <c r="A1227" s="543"/>
      <c r="B1227" s="544" t="s">
        <v>658</v>
      </c>
      <c r="C1227" s="513">
        <v>1381</v>
      </c>
      <c r="D1227" s="545" t="s">
        <v>774</v>
      </c>
      <c r="E1227" s="514" t="s">
        <v>41</v>
      </c>
      <c r="F1227" s="546">
        <v>6.14</v>
      </c>
      <c r="G1227" s="547">
        <v>0.42</v>
      </c>
      <c r="H1227" s="548">
        <f>F1227*G1227</f>
        <v>2.5787999999999998</v>
      </c>
      <c r="I1227" s="547"/>
      <c r="J1227" s="549"/>
      <c r="K1227" s="548"/>
      <c r="L1227" s="547"/>
      <c r="M1227" s="549"/>
      <c r="N1227" s="550"/>
      <c r="O1227" s="551"/>
    </row>
    <row r="1228" spans="1:15" s="552" customFormat="1" ht="15" customHeight="1" x14ac:dyDescent="0.25">
      <c r="A1228" s="543"/>
      <c r="B1228" s="544" t="s">
        <v>658</v>
      </c>
      <c r="C1228" s="513">
        <v>34357</v>
      </c>
      <c r="D1228" s="545" t="s">
        <v>728</v>
      </c>
      <c r="E1228" s="514" t="s">
        <v>97</v>
      </c>
      <c r="F1228" s="546">
        <v>0.22</v>
      </c>
      <c r="G1228" s="547">
        <v>2.69</v>
      </c>
      <c r="H1228" s="548">
        <f>F1228*G1228</f>
        <v>0.59179999999999999</v>
      </c>
      <c r="I1228" s="547"/>
      <c r="J1228" s="549"/>
      <c r="K1228" s="548"/>
      <c r="L1228" s="547"/>
      <c r="M1228" s="549"/>
      <c r="N1228" s="550"/>
      <c r="O1228" s="551"/>
    </row>
    <row r="1229" spans="1:15" s="25" customFormat="1" x14ac:dyDescent="0.2">
      <c r="A1229" s="134"/>
      <c r="B1229" s="129"/>
      <c r="C1229" s="29"/>
      <c r="D1229" s="117" t="s">
        <v>83</v>
      </c>
      <c r="E1229" s="30"/>
      <c r="F1229" s="476"/>
      <c r="G1229" s="477"/>
      <c r="H1229" s="478"/>
      <c r="I1229" s="479"/>
      <c r="J1229" s="480"/>
      <c r="K1229" s="478"/>
      <c r="L1229" s="479"/>
      <c r="M1229" s="480"/>
      <c r="N1229" s="92"/>
      <c r="O1229" s="92"/>
    </row>
    <row r="1230" spans="1:15" s="23" customFormat="1" ht="45" x14ac:dyDescent="0.2">
      <c r="A1230" s="223" t="s">
        <v>79</v>
      </c>
      <c r="B1230" s="571">
        <v>21002000003</v>
      </c>
      <c r="C1230" s="225" t="s">
        <v>557</v>
      </c>
      <c r="D1230" s="226" t="s">
        <v>4</v>
      </c>
      <c r="E1230" s="225" t="s">
        <v>94</v>
      </c>
      <c r="F1230" s="515">
        <f>'MEMÓRIA DE CÁLCULO'!G238</f>
        <v>21.57</v>
      </c>
      <c r="G1230" s="228"/>
      <c r="H1230" s="229">
        <f>H1231</f>
        <v>62.66</v>
      </c>
      <c r="I1230" s="230">
        <v>0</v>
      </c>
      <c r="J1230" s="231">
        <f>(H1230+I1230)</f>
        <v>62.66</v>
      </c>
      <c r="K1230" s="229">
        <f>F1230*H1230</f>
        <v>1351.5762</v>
      </c>
      <c r="L1230" s="230">
        <f>F1230*I1230</f>
        <v>0</v>
      </c>
      <c r="M1230" s="231">
        <f>K1230+L1230</f>
        <v>1351.5762</v>
      </c>
      <c r="N1230" s="227">
        <f>M1230*$N$7</f>
        <v>366.00683495999999</v>
      </c>
      <c r="O1230" s="227">
        <f>M1230+N1230</f>
        <v>1717.5830349600001</v>
      </c>
    </row>
    <row r="1231" spans="1:15" s="552" customFormat="1" ht="28.5" customHeight="1" x14ac:dyDescent="0.25">
      <c r="A1231" s="543"/>
      <c r="B1231" s="544"/>
      <c r="C1231" s="513"/>
      <c r="D1231" s="545" t="str">
        <f>D1230</f>
        <v>FORRO DE GESSO ACARTONADO REMOVÍVEL, com película vinílica branca, apoiados em perfis metálicos tipo "T" suspensos por pendurais rígidos (comprimento: 0,65 m / espessura: 9,0 mm / largura: 0,65 m) - instalado, inclusive acabamentos de borda e acessórios.</v>
      </c>
      <c r="E1231" s="514" t="s">
        <v>94</v>
      </c>
      <c r="F1231" s="546">
        <v>1</v>
      </c>
      <c r="G1231" s="547">
        <v>62.66</v>
      </c>
      <c r="H1231" s="548">
        <f>F1231*G1231</f>
        <v>62.66</v>
      </c>
      <c r="I1231" s="547" t="s">
        <v>96</v>
      </c>
      <c r="J1231" s="549"/>
      <c r="K1231" s="548"/>
      <c r="L1231" s="547" t="s">
        <v>96</v>
      </c>
      <c r="M1231" s="549"/>
      <c r="N1231" s="550"/>
      <c r="O1231" s="551"/>
    </row>
    <row r="1232" spans="1:15" s="23" customFormat="1" ht="14.25" x14ac:dyDescent="0.2">
      <c r="A1232" s="134"/>
      <c r="B1232" s="129"/>
      <c r="C1232" s="29"/>
      <c r="D1232" s="117" t="s">
        <v>83</v>
      </c>
      <c r="E1232" s="30"/>
      <c r="F1232" s="118"/>
      <c r="G1232" s="31"/>
      <c r="H1232" s="104"/>
      <c r="I1232" s="27"/>
      <c r="J1232" s="105"/>
      <c r="K1232" s="104"/>
      <c r="L1232" s="27"/>
      <c r="M1232" s="105"/>
      <c r="N1232" s="92"/>
      <c r="O1232" s="92"/>
    </row>
    <row r="1233" spans="1:15" s="23" customFormat="1" ht="22.5" x14ac:dyDescent="0.2">
      <c r="A1233" s="223" t="s">
        <v>78</v>
      </c>
      <c r="B1233" s="224">
        <v>87530</v>
      </c>
      <c r="C1233" s="225" t="s">
        <v>1051</v>
      </c>
      <c r="D1233" s="226" t="s">
        <v>1049</v>
      </c>
      <c r="E1233" s="225" t="s">
        <v>94</v>
      </c>
      <c r="F1233" s="473">
        <f>(2.1+2.1+0.8)*0.5*1</f>
        <v>2.5</v>
      </c>
      <c r="G1233" s="474"/>
      <c r="H1233" s="229">
        <f>ROUND(SUM(H1234:H1236),2)</f>
        <v>14.06</v>
      </c>
      <c r="I1233" s="229">
        <f>ROUND(SUM(I1234:I1236),2)</f>
        <v>7.43</v>
      </c>
      <c r="J1233" s="231">
        <f>(H1233+I1233)</f>
        <v>21.490000000000002</v>
      </c>
      <c r="K1233" s="229">
        <f>F1233*H1233</f>
        <v>35.15</v>
      </c>
      <c r="L1233" s="230">
        <f>F1233*I1233</f>
        <v>18.574999999999999</v>
      </c>
      <c r="M1233" s="231">
        <f>K1233+L1233</f>
        <v>53.724999999999994</v>
      </c>
      <c r="N1233" s="227">
        <f>M1233*$N$7</f>
        <v>14.548729999999997</v>
      </c>
      <c r="O1233" s="227">
        <f>M1233+N1233</f>
        <v>68.273729999999986</v>
      </c>
    </row>
    <row r="1234" spans="1:15" s="552" customFormat="1" ht="21" customHeight="1" x14ac:dyDescent="0.25">
      <c r="A1234" s="543"/>
      <c r="B1234" s="544" t="s">
        <v>664</v>
      </c>
      <c r="C1234" s="513">
        <v>87369</v>
      </c>
      <c r="D1234" s="545" t="s">
        <v>791</v>
      </c>
      <c r="E1234" s="514" t="s">
        <v>233</v>
      </c>
      <c r="F1234" s="546">
        <v>3.7600000000000001E-2</v>
      </c>
      <c r="G1234" s="547">
        <v>373.9</v>
      </c>
      <c r="H1234" s="548">
        <f t="shared" ref="H1234" si="166">F1234*G1234</f>
        <v>14.05864</v>
      </c>
      <c r="I1234" s="547"/>
      <c r="J1234" s="549"/>
      <c r="K1234" s="548"/>
      <c r="L1234" s="547"/>
      <c r="M1234" s="549"/>
      <c r="N1234" s="550"/>
      <c r="O1234" s="551"/>
    </row>
    <row r="1235" spans="1:15" s="552" customFormat="1" ht="15" customHeight="1" x14ac:dyDescent="0.25">
      <c r="A1235" s="543"/>
      <c r="B1235" s="544" t="s">
        <v>715</v>
      </c>
      <c r="C1235" s="513">
        <v>4750</v>
      </c>
      <c r="D1235" s="545" t="s">
        <v>714</v>
      </c>
      <c r="E1235" s="514" t="s">
        <v>42</v>
      </c>
      <c r="F1235" s="546">
        <v>0.47</v>
      </c>
      <c r="G1235" s="547">
        <v>12.57</v>
      </c>
      <c r="H1235" s="548"/>
      <c r="I1235" s="547">
        <f>F1235*G1235</f>
        <v>5.9078999999999997</v>
      </c>
      <c r="J1235" s="549"/>
      <c r="K1235" s="548"/>
      <c r="L1235" s="547"/>
      <c r="M1235" s="549"/>
      <c r="N1235" s="550"/>
      <c r="O1235" s="551"/>
    </row>
    <row r="1236" spans="1:15" s="552" customFormat="1" ht="15" customHeight="1" x14ac:dyDescent="0.25">
      <c r="A1236" s="543"/>
      <c r="B1236" s="544" t="s">
        <v>658</v>
      </c>
      <c r="C1236" s="513">
        <v>6111</v>
      </c>
      <c r="D1236" s="545" t="s">
        <v>670</v>
      </c>
      <c r="E1236" s="514" t="s">
        <v>42</v>
      </c>
      <c r="F1236" s="546">
        <v>0.17100000000000001</v>
      </c>
      <c r="G1236" s="547">
        <v>8.92</v>
      </c>
      <c r="H1236" s="548"/>
      <c r="I1236" s="547">
        <f t="shared" ref="I1236" si="167">F1236*G1236</f>
        <v>1.52532</v>
      </c>
      <c r="J1236" s="549"/>
      <c r="K1236" s="548"/>
      <c r="L1236" s="547"/>
      <c r="M1236" s="549"/>
      <c r="N1236" s="550"/>
      <c r="O1236" s="551"/>
    </row>
    <row r="1237" spans="1:15" s="23" customFormat="1" ht="14.25" x14ac:dyDescent="0.2">
      <c r="A1237" s="134"/>
      <c r="B1237" s="129"/>
      <c r="C1237" s="29"/>
      <c r="D1237" s="117" t="s">
        <v>83</v>
      </c>
      <c r="E1237" s="30"/>
      <c r="F1237" s="476"/>
      <c r="G1237" s="477"/>
      <c r="H1237" s="478"/>
      <c r="I1237" s="479"/>
      <c r="J1237" s="480"/>
      <c r="K1237" s="478"/>
      <c r="L1237" s="479"/>
      <c r="M1237" s="480"/>
      <c r="N1237" s="92"/>
      <c r="O1237" s="92"/>
    </row>
    <row r="1238" spans="1:15" s="266" customFormat="1" ht="12.75" x14ac:dyDescent="0.2">
      <c r="A1238" s="516"/>
      <c r="B1238" s="517"/>
      <c r="C1238" s="518" t="s">
        <v>558</v>
      </c>
      <c r="D1238" s="519" t="s">
        <v>327</v>
      </c>
      <c r="E1238" s="520"/>
      <c r="F1238" s="519"/>
      <c r="G1238" s="520"/>
      <c r="H1238" s="521"/>
      <c r="I1238" s="522"/>
      <c r="J1238" s="523"/>
      <c r="K1238" s="521"/>
      <c r="L1238" s="522"/>
      <c r="M1238" s="523"/>
      <c r="N1238" s="524"/>
      <c r="O1238" s="525">
        <f>O1240</f>
        <v>3808.4778028800001</v>
      </c>
    </row>
    <row r="1239" spans="1:15" s="23" customFormat="1" ht="14.25" x14ac:dyDescent="0.2">
      <c r="A1239" s="134"/>
      <c r="B1239" s="129"/>
      <c r="C1239" s="29"/>
      <c r="D1239" s="117" t="s">
        <v>83</v>
      </c>
      <c r="E1239" s="30"/>
      <c r="F1239" s="118"/>
      <c r="G1239" s="31"/>
      <c r="H1239" s="104"/>
      <c r="I1239" s="27"/>
      <c r="J1239" s="105"/>
      <c r="K1239" s="104"/>
      <c r="L1239" s="27"/>
      <c r="M1239" s="105"/>
      <c r="N1239" s="92"/>
      <c r="O1239" s="92"/>
    </row>
    <row r="1240" spans="1:15" s="23" customFormat="1" ht="33.75" x14ac:dyDescent="0.2">
      <c r="A1240" s="223" t="s">
        <v>1306</v>
      </c>
      <c r="B1240" s="224">
        <v>87251</v>
      </c>
      <c r="C1240" s="225" t="s">
        <v>559</v>
      </c>
      <c r="D1240" s="226" t="s">
        <v>483</v>
      </c>
      <c r="E1240" s="225" t="s">
        <v>58</v>
      </c>
      <c r="F1240" s="515">
        <f>'MEMÓRIA DE CÁLCULO'!F238</f>
        <v>83.04</v>
      </c>
      <c r="G1240" s="228"/>
      <c r="H1240" s="229">
        <f>ROUND(SUM(H1241:H1245),2)</f>
        <v>31.78</v>
      </c>
      <c r="I1240" s="229">
        <f>ROUND(SUM(I1241:I1245),2)</f>
        <v>4.3099999999999996</v>
      </c>
      <c r="J1240" s="231">
        <f>(H1240+I1240)</f>
        <v>36.090000000000003</v>
      </c>
      <c r="K1240" s="229">
        <f>F1240*H1240</f>
        <v>2639.0112000000004</v>
      </c>
      <c r="L1240" s="230">
        <f>F1240*I1240</f>
        <v>357.9024</v>
      </c>
      <c r="M1240" s="231">
        <f>K1240+L1240</f>
        <v>2996.9136000000003</v>
      </c>
      <c r="N1240" s="227">
        <f>M1240*$N$7</f>
        <v>811.56420288000004</v>
      </c>
      <c r="O1240" s="227">
        <f>M1240+N1240</f>
        <v>3808.4778028800001</v>
      </c>
    </row>
    <row r="1241" spans="1:15" s="552" customFormat="1" ht="15" customHeight="1" x14ac:dyDescent="0.25">
      <c r="A1241" s="543"/>
      <c r="B1241" s="544" t="s">
        <v>715</v>
      </c>
      <c r="C1241" s="513">
        <v>4760</v>
      </c>
      <c r="D1241" s="545" t="s">
        <v>727</v>
      </c>
      <c r="E1241" s="514" t="s">
        <v>42</v>
      </c>
      <c r="F1241" s="546">
        <v>0.26</v>
      </c>
      <c r="G1241" s="547">
        <v>11.43</v>
      </c>
      <c r="H1241" s="548"/>
      <c r="I1241" s="547">
        <f>F1241*G1241</f>
        <v>2.9718</v>
      </c>
      <c r="J1241" s="549"/>
      <c r="K1241" s="548"/>
      <c r="L1241" s="547"/>
      <c r="M1241" s="549"/>
      <c r="N1241" s="550"/>
      <c r="O1241" s="551"/>
    </row>
    <row r="1242" spans="1:15" s="552" customFormat="1" ht="15" customHeight="1" x14ac:dyDescent="0.25">
      <c r="A1242" s="543"/>
      <c r="B1242" s="544" t="s">
        <v>658</v>
      </c>
      <c r="C1242" s="513">
        <v>6111</v>
      </c>
      <c r="D1242" s="545" t="s">
        <v>670</v>
      </c>
      <c r="E1242" s="514" t="s">
        <v>42</v>
      </c>
      <c r="F1242" s="546">
        <v>0.15</v>
      </c>
      <c r="G1242" s="547">
        <v>8.92</v>
      </c>
      <c r="H1242" s="548"/>
      <c r="I1242" s="547">
        <f t="shared" ref="I1242" si="168">F1242*G1242</f>
        <v>1.3379999999999999</v>
      </c>
      <c r="J1242" s="549"/>
      <c r="K1242" s="548"/>
      <c r="L1242" s="547"/>
      <c r="M1242" s="549"/>
      <c r="N1242" s="550"/>
      <c r="O1242" s="551"/>
    </row>
    <row r="1243" spans="1:15" s="552" customFormat="1" ht="21" customHeight="1" x14ac:dyDescent="0.25">
      <c r="A1243" s="543"/>
      <c r="B1243" s="544" t="s">
        <v>80</v>
      </c>
      <c r="C1243" s="513"/>
      <c r="D1243" s="545" t="str">
        <f>D1240</f>
        <v>Piso cerâmico - classe A, PEI V, dimensões 45X45cm - referência técnica: ELIANE  linha cargo plus, cor write - ou similar - assentado com argamassa colante e rejuntado com rejunte flexível antifungo.</v>
      </c>
      <c r="E1243" s="514" t="s">
        <v>27</v>
      </c>
      <c r="F1243" s="546">
        <v>1.06</v>
      </c>
      <c r="G1243" s="547">
        <v>27.07</v>
      </c>
      <c r="H1243" s="548">
        <f t="shared" ref="H1243" si="169">F1243*G1243</f>
        <v>28.694200000000002</v>
      </c>
      <c r="I1243" s="547"/>
      <c r="J1243" s="549"/>
      <c r="K1243" s="548"/>
      <c r="L1243" s="547"/>
      <c r="M1243" s="549"/>
      <c r="N1243" s="550"/>
      <c r="O1243" s="551"/>
    </row>
    <row r="1244" spans="1:15" s="552" customFormat="1" ht="15" customHeight="1" x14ac:dyDescent="0.25">
      <c r="A1244" s="543"/>
      <c r="B1244" s="544" t="s">
        <v>658</v>
      </c>
      <c r="C1244" s="513">
        <v>1381</v>
      </c>
      <c r="D1244" s="545" t="s">
        <v>774</v>
      </c>
      <c r="E1244" s="514" t="s">
        <v>41</v>
      </c>
      <c r="F1244" s="546">
        <v>6.14</v>
      </c>
      <c r="G1244" s="547">
        <v>0.42</v>
      </c>
      <c r="H1244" s="548">
        <f>F1244*G1244</f>
        <v>2.5787999999999998</v>
      </c>
      <c r="I1244" s="547"/>
      <c r="J1244" s="549"/>
      <c r="K1244" s="548"/>
      <c r="L1244" s="547"/>
      <c r="M1244" s="549"/>
      <c r="N1244" s="550"/>
      <c r="O1244" s="551"/>
    </row>
    <row r="1245" spans="1:15" s="552" customFormat="1" ht="15" customHeight="1" x14ac:dyDescent="0.25">
      <c r="A1245" s="543"/>
      <c r="B1245" s="544" t="s">
        <v>658</v>
      </c>
      <c r="C1245" s="513">
        <v>34357</v>
      </c>
      <c r="D1245" s="545" t="s">
        <v>728</v>
      </c>
      <c r="E1245" s="514" t="s">
        <v>97</v>
      </c>
      <c r="F1245" s="546">
        <v>0.19</v>
      </c>
      <c r="G1245" s="547">
        <v>2.69</v>
      </c>
      <c r="H1245" s="548">
        <f>F1245*G1245</f>
        <v>0.5111</v>
      </c>
      <c r="I1245" s="547"/>
      <c r="J1245" s="549"/>
      <c r="K1245" s="548"/>
      <c r="L1245" s="547"/>
      <c r="M1245" s="549"/>
      <c r="N1245" s="550"/>
      <c r="O1245" s="551"/>
    </row>
    <row r="1246" spans="1:15" s="25" customFormat="1" x14ac:dyDescent="0.2">
      <c r="A1246" s="134"/>
      <c r="B1246" s="129"/>
      <c r="C1246" s="29"/>
      <c r="D1246" s="117" t="s">
        <v>83</v>
      </c>
      <c r="E1246" s="30"/>
      <c r="F1246" s="476"/>
      <c r="G1246" s="477"/>
      <c r="H1246" s="478"/>
      <c r="I1246" s="479"/>
      <c r="J1246" s="480"/>
      <c r="K1246" s="478"/>
      <c r="L1246" s="479"/>
      <c r="M1246" s="480"/>
      <c r="N1246" s="92"/>
      <c r="O1246" s="92"/>
    </row>
    <row r="1247" spans="1:15" s="23" customFormat="1" ht="14.25" x14ac:dyDescent="0.2">
      <c r="A1247" s="134"/>
      <c r="B1247" s="129"/>
      <c r="C1247" s="29"/>
      <c r="D1247" s="117" t="s">
        <v>83</v>
      </c>
      <c r="E1247" s="30"/>
      <c r="F1247" s="476"/>
      <c r="G1247" s="477"/>
      <c r="H1247" s="478"/>
      <c r="I1247" s="479"/>
      <c r="J1247" s="480"/>
      <c r="K1247" s="478"/>
      <c r="L1247" s="479"/>
      <c r="M1247" s="480"/>
      <c r="N1247" s="92"/>
      <c r="O1247" s="92"/>
    </row>
    <row r="1248" spans="1:15" s="266" customFormat="1" ht="12.75" x14ac:dyDescent="0.2">
      <c r="A1248" s="516"/>
      <c r="B1248" s="517"/>
      <c r="C1248" s="518" t="s">
        <v>560</v>
      </c>
      <c r="D1248" s="519" t="s">
        <v>170</v>
      </c>
      <c r="E1248" s="520"/>
      <c r="F1248" s="519"/>
      <c r="G1248" s="520"/>
      <c r="H1248" s="521"/>
      <c r="I1248" s="522"/>
      <c r="J1248" s="523"/>
      <c r="K1248" s="521"/>
      <c r="L1248" s="522"/>
      <c r="M1248" s="523"/>
      <c r="N1248" s="524"/>
      <c r="O1248" s="525">
        <f>SUM(O1250:O1257)</f>
        <v>2419.8799802399999</v>
      </c>
    </row>
    <row r="1249" spans="1:15" s="23" customFormat="1" ht="14.25" x14ac:dyDescent="0.2">
      <c r="A1249" s="134"/>
      <c r="B1249" s="129"/>
      <c r="C1249" s="29"/>
      <c r="D1249" s="117" t="s">
        <v>83</v>
      </c>
      <c r="E1249" s="30"/>
      <c r="F1249" s="118"/>
      <c r="G1249" s="31"/>
      <c r="H1249" s="110"/>
      <c r="I1249" s="31"/>
      <c r="J1249" s="111"/>
      <c r="K1249" s="110"/>
      <c r="L1249" s="31"/>
      <c r="M1249" s="111"/>
      <c r="N1249" s="92"/>
      <c r="O1249" s="92"/>
    </row>
    <row r="1250" spans="1:15" s="23" customFormat="1" ht="33.75" x14ac:dyDescent="0.2">
      <c r="A1250" s="223" t="s">
        <v>79</v>
      </c>
      <c r="B1250" s="224" t="s">
        <v>235</v>
      </c>
      <c r="C1250" s="225" t="s">
        <v>561</v>
      </c>
      <c r="D1250" s="226" t="s">
        <v>197</v>
      </c>
      <c r="E1250" s="225" t="s">
        <v>98</v>
      </c>
      <c r="F1250" s="515">
        <f>'MEMÓRIA DE CÁLCULO'!H238</f>
        <v>113.28999999999999</v>
      </c>
      <c r="G1250" s="228"/>
      <c r="H1250" s="229">
        <f>ROUND(SUM(H1251:H1252),2)</f>
        <v>11.94</v>
      </c>
      <c r="I1250" s="230">
        <f>ROUND(SUM(I1251:I1252),2)</f>
        <v>2.48</v>
      </c>
      <c r="J1250" s="231">
        <f>(H1250+I1250)</f>
        <v>14.42</v>
      </c>
      <c r="K1250" s="229">
        <f>F1250*H1250</f>
        <v>1352.6825999999999</v>
      </c>
      <c r="L1250" s="230">
        <f>F1250*I1250</f>
        <v>280.95919999999995</v>
      </c>
      <c r="M1250" s="231">
        <f>K1250+L1250</f>
        <v>1633.6417999999999</v>
      </c>
      <c r="N1250" s="227">
        <f>M1250*$N$7</f>
        <v>442.39019943999995</v>
      </c>
      <c r="O1250" s="227">
        <f>M1250+N1250</f>
        <v>2076.0319994399997</v>
      </c>
    </row>
    <row r="1251" spans="1:15" s="552" customFormat="1" ht="15" customHeight="1" x14ac:dyDescent="0.25">
      <c r="A1251" s="543"/>
      <c r="B1251" s="544" t="s">
        <v>715</v>
      </c>
      <c r="C1251" s="513">
        <v>1214</v>
      </c>
      <c r="D1251" s="545" t="s">
        <v>713</v>
      </c>
      <c r="E1251" s="514" t="s">
        <v>42</v>
      </c>
      <c r="F1251" s="546">
        <v>0.2</v>
      </c>
      <c r="G1251" s="547">
        <v>12.39</v>
      </c>
      <c r="H1251" s="548"/>
      <c r="I1251" s="547">
        <f>F1251*G1251</f>
        <v>2.4780000000000002</v>
      </c>
      <c r="J1251" s="549"/>
      <c r="K1251" s="548"/>
      <c r="L1251" s="547"/>
      <c r="M1251" s="549"/>
      <c r="N1251" s="550"/>
      <c r="O1251" s="551"/>
    </row>
    <row r="1252" spans="1:15" s="552" customFormat="1" ht="15" customHeight="1" x14ac:dyDescent="0.25">
      <c r="A1252" s="543"/>
      <c r="B1252" s="544"/>
      <c r="C1252" s="513"/>
      <c r="D1252" s="545" t="s">
        <v>8</v>
      </c>
      <c r="E1252" s="514" t="s">
        <v>98</v>
      </c>
      <c r="F1252" s="546">
        <v>1.1499999999999999</v>
      </c>
      <c r="G1252" s="547">
        <v>10.38</v>
      </c>
      <c r="H1252" s="548">
        <f>F1252*G1252</f>
        <v>11.936999999999999</v>
      </c>
      <c r="I1252" s="547"/>
      <c r="J1252" s="549"/>
      <c r="K1252" s="548"/>
      <c r="L1252" s="547"/>
      <c r="M1252" s="549"/>
      <c r="N1252" s="550"/>
      <c r="O1252" s="551"/>
    </row>
    <row r="1253" spans="1:15" s="23" customFormat="1" ht="14.25" x14ac:dyDescent="0.2">
      <c r="A1253" s="134"/>
      <c r="B1253" s="129"/>
      <c r="C1253" s="29"/>
      <c r="D1253" s="117" t="s">
        <v>83</v>
      </c>
      <c r="E1253" s="30"/>
      <c r="F1253" s="118"/>
      <c r="G1253" s="31"/>
      <c r="H1253" s="110"/>
      <c r="I1253" s="31"/>
      <c r="J1253" s="111"/>
      <c r="K1253" s="110"/>
      <c r="L1253" s="31"/>
      <c r="M1253" s="111"/>
      <c r="N1253" s="94"/>
      <c r="O1253" s="94"/>
    </row>
    <row r="1254" spans="1:15" s="23" customFormat="1" ht="33.75" x14ac:dyDescent="0.2">
      <c r="A1254" s="223" t="s">
        <v>79</v>
      </c>
      <c r="B1254" s="224" t="s">
        <v>31</v>
      </c>
      <c r="C1254" s="225" t="s">
        <v>562</v>
      </c>
      <c r="D1254" s="226" t="s">
        <v>299</v>
      </c>
      <c r="E1254" s="225" t="s">
        <v>98</v>
      </c>
      <c r="F1254" s="515">
        <f>'MEMÓRIA DE CÁLCULO'!F258</f>
        <v>3.6000000000000005</v>
      </c>
      <c r="G1254" s="228"/>
      <c r="H1254" s="229">
        <f>ROUND(SUM(H1255:H1256),2)</f>
        <v>74.44</v>
      </c>
      <c r="I1254" s="230">
        <f>ROUND(SUM(I1255:I1257),2)</f>
        <v>0.72</v>
      </c>
      <c r="J1254" s="231">
        <f>(H1254+I1254)</f>
        <v>75.16</v>
      </c>
      <c r="K1254" s="229">
        <f>F1254*H1254</f>
        <v>267.98400000000004</v>
      </c>
      <c r="L1254" s="230">
        <f>F1254*I1254</f>
        <v>2.5920000000000001</v>
      </c>
      <c r="M1254" s="231">
        <f>K1254+L1254</f>
        <v>270.57600000000002</v>
      </c>
      <c r="N1254" s="227">
        <f>M1254*$N$7</f>
        <v>73.271980800000009</v>
      </c>
      <c r="O1254" s="227">
        <f>M1254+N1254</f>
        <v>343.84798080000002</v>
      </c>
    </row>
    <row r="1255" spans="1:15" s="552" customFormat="1" ht="18.75" customHeight="1" x14ac:dyDescent="0.25">
      <c r="A1255" s="543"/>
      <c r="B1255" s="544"/>
      <c r="C1255" s="513"/>
      <c r="D1255" s="545" t="str">
        <f>D1254</f>
        <v>Soleira de granito natural,  cinza andorinha ou similar  - na largura da parede, assentado com argamassa mista de cimento, cal hidratada e areia sem peneirar traço 1:1:4 - PORTAS EXTERNAS</v>
      </c>
      <c r="E1255" s="514" t="s">
        <v>98</v>
      </c>
      <c r="F1255" s="546">
        <v>1</v>
      </c>
      <c r="G1255" s="547">
        <v>72.790000000000006</v>
      </c>
      <c r="H1255" s="548">
        <f>F1255*G1255</f>
        <v>72.790000000000006</v>
      </c>
      <c r="I1255" s="547"/>
      <c r="J1255" s="549"/>
      <c r="K1255" s="548"/>
      <c r="L1255" s="547"/>
      <c r="M1255" s="549"/>
      <c r="N1255" s="550"/>
      <c r="O1255" s="551"/>
    </row>
    <row r="1256" spans="1:15" s="552" customFormat="1" ht="18.75" customHeight="1" x14ac:dyDescent="0.25">
      <c r="A1256" s="543"/>
      <c r="B1256" s="544"/>
      <c r="C1256" s="513"/>
      <c r="D1256" s="545" t="s">
        <v>29</v>
      </c>
      <c r="E1256" s="514" t="s">
        <v>97</v>
      </c>
      <c r="F1256" s="546">
        <v>6.2500000000000003E-3</v>
      </c>
      <c r="G1256" s="547">
        <v>378.2</v>
      </c>
      <c r="H1256" s="548">
        <f>F1256*G1256*0.7</f>
        <v>1.654625</v>
      </c>
      <c r="I1256" s="547">
        <f>1.01*F1256*G1256*0.3</f>
        <v>0.71621625</v>
      </c>
      <c r="J1256" s="549"/>
      <c r="K1256" s="548"/>
      <c r="L1256" s="547"/>
      <c r="M1256" s="549"/>
      <c r="N1256" s="550"/>
      <c r="O1256" s="551"/>
    </row>
    <row r="1257" spans="1:15" s="23" customFormat="1" ht="14.25" x14ac:dyDescent="0.2">
      <c r="A1257" s="134"/>
      <c r="B1257" s="129"/>
      <c r="C1257" s="29"/>
      <c r="D1257" s="117" t="s">
        <v>83</v>
      </c>
      <c r="E1257" s="30"/>
      <c r="F1257" s="118"/>
      <c r="G1257" s="31"/>
      <c r="H1257" s="110"/>
      <c r="I1257" s="31"/>
      <c r="J1257" s="111"/>
      <c r="K1257" s="110"/>
      <c r="L1257" s="31"/>
      <c r="M1257" s="111"/>
      <c r="N1257" s="92"/>
      <c r="O1257" s="92"/>
    </row>
    <row r="1258" spans="1:15" s="266" customFormat="1" ht="12.75" x14ac:dyDescent="0.2">
      <c r="A1258" s="516"/>
      <c r="B1258" s="517"/>
      <c r="C1258" s="518" t="s">
        <v>563</v>
      </c>
      <c r="D1258" s="519" t="s">
        <v>85</v>
      </c>
      <c r="E1258" s="520"/>
      <c r="F1258" s="519"/>
      <c r="G1258" s="520"/>
      <c r="H1258" s="521"/>
      <c r="I1258" s="522"/>
      <c r="J1258" s="523"/>
      <c r="K1258" s="521"/>
      <c r="L1258" s="522"/>
      <c r="M1258" s="523"/>
      <c r="N1258" s="524"/>
      <c r="O1258" s="525">
        <f>SUM(O1262:O1384)</f>
        <v>6088.9111200000007</v>
      </c>
    </row>
    <row r="1259" spans="1:15" s="23" customFormat="1" ht="14.25" x14ac:dyDescent="0.2">
      <c r="A1259" s="134"/>
      <c r="B1259" s="130"/>
      <c r="C1259" s="34"/>
      <c r="D1259" s="117" t="s">
        <v>83</v>
      </c>
      <c r="E1259" s="30"/>
      <c r="F1259" s="30"/>
      <c r="G1259" s="31"/>
      <c r="H1259" s="104"/>
      <c r="I1259" s="27"/>
      <c r="J1259" s="105"/>
      <c r="K1259" s="31"/>
      <c r="L1259" s="31"/>
      <c r="M1259" s="111"/>
      <c r="N1259" s="92"/>
      <c r="O1259" s="92"/>
    </row>
    <row r="1260" spans="1:15" s="172" customFormat="1" ht="11.25" x14ac:dyDescent="0.2">
      <c r="A1260" s="170"/>
      <c r="B1260" s="120"/>
      <c r="C1260" s="122"/>
      <c r="D1260" s="124" t="s">
        <v>528</v>
      </c>
      <c r="E1260" s="122"/>
      <c r="F1260" s="90"/>
      <c r="G1260" s="116"/>
      <c r="H1260" s="102"/>
      <c r="I1260" s="35"/>
      <c r="J1260" s="103"/>
      <c r="K1260" s="102"/>
      <c r="L1260" s="35"/>
      <c r="M1260" s="103"/>
      <c r="N1260" s="90"/>
      <c r="O1260" s="171"/>
    </row>
    <row r="1261" spans="1:15" s="23" customFormat="1" ht="14.25" x14ac:dyDescent="0.2">
      <c r="A1261" s="134"/>
      <c r="B1261" s="130"/>
      <c r="C1261" s="34"/>
      <c r="D1261" s="117" t="s">
        <v>83</v>
      </c>
      <c r="E1261" s="30"/>
      <c r="F1261" s="30"/>
      <c r="G1261" s="31"/>
      <c r="H1261" s="104"/>
      <c r="I1261" s="27"/>
      <c r="J1261" s="105"/>
      <c r="K1261" s="31"/>
      <c r="L1261" s="31"/>
      <c r="M1261" s="111"/>
      <c r="N1261" s="92"/>
      <c r="O1261" s="92"/>
    </row>
    <row r="1262" spans="1:15" s="23" customFormat="1" ht="14.25" x14ac:dyDescent="0.2">
      <c r="A1262" s="223" t="s">
        <v>39</v>
      </c>
      <c r="B1262" s="224" t="s">
        <v>148</v>
      </c>
      <c r="C1262" s="225" t="s">
        <v>564</v>
      </c>
      <c r="D1262" s="226" t="s">
        <v>198</v>
      </c>
      <c r="E1262" s="225" t="s">
        <v>41</v>
      </c>
      <c r="F1262" s="515">
        <v>2</v>
      </c>
      <c r="G1262" s="228"/>
      <c r="H1262" s="229">
        <f>ROUND(SUM(H1263:H1268),2)</f>
        <v>29.91</v>
      </c>
      <c r="I1262" s="230">
        <f>ROUND(SUM(I1263:I1268),2)</f>
        <v>66.06</v>
      </c>
      <c r="J1262" s="231">
        <f>(H1262+I1262)</f>
        <v>95.97</v>
      </c>
      <c r="K1262" s="229">
        <f>F1262*H1262</f>
        <v>59.82</v>
      </c>
      <c r="L1262" s="230">
        <f>F1262*I1262</f>
        <v>132.12</v>
      </c>
      <c r="M1262" s="231">
        <f>K1262+L1262</f>
        <v>191.94</v>
      </c>
      <c r="N1262" s="227">
        <f>M1262*$N$7</f>
        <v>51.977351999999996</v>
      </c>
      <c r="O1262" s="227">
        <f>M1262+N1262</f>
        <v>243.91735199999999</v>
      </c>
    </row>
    <row r="1263" spans="1:15" s="552" customFormat="1" ht="18.75" customHeight="1" x14ac:dyDescent="0.25">
      <c r="A1263" s="543"/>
      <c r="B1263" s="544"/>
      <c r="C1263" s="513">
        <v>246</v>
      </c>
      <c r="D1263" s="545" t="s">
        <v>764</v>
      </c>
      <c r="E1263" s="514" t="s">
        <v>42</v>
      </c>
      <c r="F1263" s="546">
        <v>3</v>
      </c>
      <c r="G1263" s="547">
        <v>9.4499999999999993</v>
      </c>
      <c r="H1263" s="548"/>
      <c r="I1263" s="547">
        <f>F1263*G1263</f>
        <v>28.349999999999998</v>
      </c>
      <c r="J1263" s="549"/>
      <c r="K1263" s="548"/>
      <c r="L1263" s="547"/>
      <c r="M1263" s="549"/>
      <c r="N1263" s="550"/>
      <c r="O1263" s="551"/>
    </row>
    <row r="1264" spans="1:15" s="552" customFormat="1" ht="18.75" customHeight="1" x14ac:dyDescent="0.25">
      <c r="A1264" s="543"/>
      <c r="B1264" s="544"/>
      <c r="C1264" s="513">
        <v>2696</v>
      </c>
      <c r="D1264" s="545" t="s">
        <v>765</v>
      </c>
      <c r="E1264" s="514" t="s">
        <v>42</v>
      </c>
      <c r="F1264" s="546">
        <v>3</v>
      </c>
      <c r="G1264" s="547">
        <v>12.57</v>
      </c>
      <c r="H1264" s="548"/>
      <c r="I1264" s="547">
        <f>F1264*G1264</f>
        <v>37.71</v>
      </c>
      <c r="J1264" s="549"/>
      <c r="K1264" s="548"/>
      <c r="L1264" s="547"/>
      <c r="M1264" s="549"/>
      <c r="N1264" s="550"/>
      <c r="O1264" s="551"/>
    </row>
    <row r="1265" spans="1:15" s="552" customFormat="1" ht="18.75" customHeight="1" x14ac:dyDescent="0.25">
      <c r="A1265" s="543"/>
      <c r="B1265" s="544"/>
      <c r="C1265" s="513"/>
      <c r="D1265" s="545" t="s">
        <v>149</v>
      </c>
      <c r="E1265" s="514" t="s">
        <v>56</v>
      </c>
      <c r="F1265" s="546">
        <v>8</v>
      </c>
      <c r="G1265" s="547">
        <v>1.9</v>
      </c>
      <c r="H1265" s="548">
        <f>F1265*G1265</f>
        <v>15.2</v>
      </c>
      <c r="I1265" s="547"/>
      <c r="J1265" s="549"/>
      <c r="K1265" s="548"/>
      <c r="L1265" s="547"/>
      <c r="M1265" s="549"/>
      <c r="N1265" s="550"/>
      <c r="O1265" s="551"/>
    </row>
    <row r="1266" spans="1:15" s="552" customFormat="1" ht="18.75" customHeight="1" x14ac:dyDescent="0.25">
      <c r="A1266" s="543"/>
      <c r="B1266" s="544"/>
      <c r="C1266" s="513"/>
      <c r="D1266" s="545" t="s">
        <v>150</v>
      </c>
      <c r="E1266" s="514" t="s">
        <v>41</v>
      </c>
      <c r="F1266" s="546">
        <v>1</v>
      </c>
      <c r="G1266" s="547">
        <v>2.0099999999999998</v>
      </c>
      <c r="H1266" s="548">
        <f>F1266*G1266</f>
        <v>2.0099999999999998</v>
      </c>
      <c r="I1266" s="547"/>
      <c r="J1266" s="549"/>
      <c r="K1266" s="548"/>
      <c r="L1266" s="547"/>
      <c r="M1266" s="549"/>
      <c r="N1266" s="550"/>
      <c r="O1266" s="551"/>
    </row>
    <row r="1267" spans="1:15" s="552" customFormat="1" ht="18.75" customHeight="1" x14ac:dyDescent="0.25">
      <c r="A1267" s="543"/>
      <c r="B1267" s="544"/>
      <c r="C1267" s="513"/>
      <c r="D1267" s="545" t="s">
        <v>151</v>
      </c>
      <c r="E1267" s="514" t="s">
        <v>41</v>
      </c>
      <c r="F1267" s="546">
        <v>3</v>
      </c>
      <c r="G1267" s="547">
        <v>1.58</v>
      </c>
      <c r="H1267" s="548">
        <f>F1267*G1267</f>
        <v>4.74</v>
      </c>
      <c r="I1267" s="547"/>
      <c r="J1267" s="549"/>
      <c r="K1267" s="548"/>
      <c r="L1267" s="547"/>
      <c r="M1267" s="549"/>
      <c r="N1267" s="550"/>
      <c r="O1267" s="551"/>
    </row>
    <row r="1268" spans="1:15" s="552" customFormat="1" ht="18.75" customHeight="1" x14ac:dyDescent="0.25">
      <c r="A1268" s="543"/>
      <c r="B1268" s="544"/>
      <c r="C1268" s="513"/>
      <c r="D1268" s="545" t="s">
        <v>152</v>
      </c>
      <c r="E1268" s="514" t="s">
        <v>41</v>
      </c>
      <c r="F1268" s="546">
        <v>1</v>
      </c>
      <c r="G1268" s="547">
        <v>7.96</v>
      </c>
      <c r="H1268" s="548">
        <f>F1268*G1268</f>
        <v>7.96</v>
      </c>
      <c r="I1268" s="547"/>
      <c r="J1268" s="549"/>
      <c r="K1268" s="548"/>
      <c r="L1268" s="547"/>
      <c r="M1268" s="549"/>
      <c r="N1268" s="550"/>
      <c r="O1268" s="551"/>
    </row>
    <row r="1269" spans="1:15" s="552" customFormat="1" ht="18.75" customHeight="1" x14ac:dyDescent="0.25">
      <c r="A1269" s="543"/>
      <c r="B1269" s="544"/>
      <c r="C1269" s="513"/>
      <c r="D1269" s="545"/>
      <c r="E1269" s="514"/>
      <c r="F1269" s="546"/>
      <c r="G1269" s="547"/>
      <c r="H1269" s="548"/>
      <c r="I1269" s="547"/>
      <c r="J1269" s="549"/>
      <c r="K1269" s="548"/>
      <c r="L1269" s="547"/>
      <c r="M1269" s="549"/>
      <c r="N1269" s="550"/>
      <c r="O1269" s="551"/>
    </row>
    <row r="1270" spans="1:15" s="172" customFormat="1" ht="11.25" x14ac:dyDescent="0.2">
      <c r="A1270" s="170"/>
      <c r="B1270" s="120"/>
      <c r="C1270" s="122"/>
      <c r="D1270" s="124" t="s">
        <v>147</v>
      </c>
      <c r="E1270" s="122"/>
      <c r="F1270" s="90"/>
      <c r="G1270" s="116"/>
      <c r="H1270" s="102"/>
      <c r="I1270" s="35"/>
      <c r="J1270" s="103"/>
      <c r="K1270" s="102"/>
      <c r="L1270" s="35"/>
      <c r="M1270" s="103"/>
      <c r="N1270" s="90"/>
      <c r="O1270" s="171"/>
    </row>
    <row r="1271" spans="1:15" s="172" customFormat="1" ht="11.25" x14ac:dyDescent="0.2">
      <c r="A1271" s="170"/>
      <c r="B1271" s="120"/>
      <c r="C1271" s="122"/>
      <c r="D1271" s="124"/>
      <c r="E1271" s="122"/>
      <c r="F1271" s="90"/>
      <c r="G1271" s="116"/>
      <c r="H1271" s="102"/>
      <c r="I1271" s="141"/>
      <c r="J1271" s="103"/>
      <c r="K1271" s="102"/>
      <c r="L1271" s="35"/>
      <c r="M1271" s="103"/>
      <c r="N1271" s="90"/>
      <c r="O1271" s="171"/>
    </row>
    <row r="1272" spans="1:15" s="23" customFormat="1" ht="14.25" x14ac:dyDescent="0.2">
      <c r="A1272" s="223" t="s">
        <v>39</v>
      </c>
      <c r="B1272" s="224" t="s">
        <v>148</v>
      </c>
      <c r="C1272" s="225" t="s">
        <v>565</v>
      </c>
      <c r="D1272" s="226" t="s">
        <v>198</v>
      </c>
      <c r="E1272" s="225" t="s">
        <v>41</v>
      </c>
      <c r="F1272" s="515">
        <f>'MEMÓRIA DE CÁLCULO'!M238</f>
        <v>8</v>
      </c>
      <c r="G1272" s="228"/>
      <c r="H1272" s="229">
        <f>ROUND(SUM(H1273:H1278),2)</f>
        <v>29.91</v>
      </c>
      <c r="I1272" s="230">
        <f>ROUND(SUM(I1273:I1278),2)</f>
        <v>66.06</v>
      </c>
      <c r="J1272" s="231">
        <f>(H1272+I1272)</f>
        <v>95.97</v>
      </c>
      <c r="K1272" s="229">
        <f>F1272*H1272</f>
        <v>239.28</v>
      </c>
      <c r="L1272" s="230">
        <f>F1272*I1272</f>
        <v>528.48</v>
      </c>
      <c r="M1272" s="231">
        <f>K1272+L1272</f>
        <v>767.76</v>
      </c>
      <c r="N1272" s="227">
        <f>M1272*$N$7</f>
        <v>207.90940799999998</v>
      </c>
      <c r="O1272" s="227">
        <f>M1272+N1272</f>
        <v>975.66940799999998</v>
      </c>
    </row>
    <row r="1273" spans="1:15" s="552" customFormat="1" ht="18.75" customHeight="1" x14ac:dyDescent="0.25">
      <c r="A1273" s="543"/>
      <c r="B1273" s="544"/>
      <c r="C1273" s="513">
        <v>246</v>
      </c>
      <c r="D1273" s="545" t="s">
        <v>764</v>
      </c>
      <c r="E1273" s="514" t="s">
        <v>42</v>
      </c>
      <c r="F1273" s="546">
        <v>3</v>
      </c>
      <c r="G1273" s="547">
        <v>9.4499999999999993</v>
      </c>
      <c r="H1273" s="548"/>
      <c r="I1273" s="547">
        <f>F1273*G1273</f>
        <v>28.349999999999998</v>
      </c>
      <c r="J1273" s="549"/>
      <c r="K1273" s="548"/>
      <c r="L1273" s="547"/>
      <c r="M1273" s="549"/>
      <c r="N1273" s="550"/>
      <c r="O1273" s="551"/>
    </row>
    <row r="1274" spans="1:15" s="552" customFormat="1" ht="18.75" customHeight="1" x14ac:dyDescent="0.25">
      <c r="A1274" s="543"/>
      <c r="B1274" s="544"/>
      <c r="C1274" s="513">
        <v>2696</v>
      </c>
      <c r="D1274" s="545" t="s">
        <v>765</v>
      </c>
      <c r="E1274" s="514" t="s">
        <v>42</v>
      </c>
      <c r="F1274" s="546">
        <v>3</v>
      </c>
      <c r="G1274" s="547">
        <v>12.57</v>
      </c>
      <c r="H1274" s="548"/>
      <c r="I1274" s="547">
        <f>F1274*G1274</f>
        <v>37.71</v>
      </c>
      <c r="J1274" s="549"/>
      <c r="K1274" s="548"/>
      <c r="L1274" s="547"/>
      <c r="M1274" s="549"/>
      <c r="N1274" s="550"/>
      <c r="O1274" s="551"/>
    </row>
    <row r="1275" spans="1:15" s="552" customFormat="1" ht="18.75" customHeight="1" x14ac:dyDescent="0.25">
      <c r="A1275" s="543"/>
      <c r="B1275" s="544"/>
      <c r="C1275" s="513"/>
      <c r="D1275" s="545" t="s">
        <v>149</v>
      </c>
      <c r="E1275" s="514" t="s">
        <v>56</v>
      </c>
      <c r="F1275" s="546">
        <v>8</v>
      </c>
      <c r="G1275" s="547">
        <v>1.9</v>
      </c>
      <c r="H1275" s="548">
        <f>F1275*G1275</f>
        <v>15.2</v>
      </c>
      <c r="I1275" s="547"/>
      <c r="J1275" s="549"/>
      <c r="K1275" s="548"/>
      <c r="L1275" s="547"/>
      <c r="M1275" s="549"/>
      <c r="N1275" s="550"/>
      <c r="O1275" s="551"/>
    </row>
    <row r="1276" spans="1:15" s="552" customFormat="1" ht="18.75" customHeight="1" x14ac:dyDescent="0.25">
      <c r="A1276" s="543"/>
      <c r="B1276" s="544"/>
      <c r="C1276" s="513"/>
      <c r="D1276" s="545" t="s">
        <v>150</v>
      </c>
      <c r="E1276" s="514" t="s">
        <v>41</v>
      </c>
      <c r="F1276" s="546">
        <v>1</v>
      </c>
      <c r="G1276" s="547">
        <v>2.0099999999999998</v>
      </c>
      <c r="H1276" s="548">
        <f>F1276*G1276</f>
        <v>2.0099999999999998</v>
      </c>
      <c r="I1276" s="547"/>
      <c r="J1276" s="549"/>
      <c r="K1276" s="548"/>
      <c r="L1276" s="547"/>
      <c r="M1276" s="549"/>
      <c r="N1276" s="550"/>
      <c r="O1276" s="551"/>
    </row>
    <row r="1277" spans="1:15" s="552" customFormat="1" ht="18.75" customHeight="1" x14ac:dyDescent="0.25">
      <c r="A1277" s="543"/>
      <c r="B1277" s="544"/>
      <c r="C1277" s="513"/>
      <c r="D1277" s="545" t="s">
        <v>151</v>
      </c>
      <c r="E1277" s="514" t="s">
        <v>41</v>
      </c>
      <c r="F1277" s="546">
        <v>3</v>
      </c>
      <c r="G1277" s="547">
        <v>1.58</v>
      </c>
      <c r="H1277" s="548">
        <f>F1277*G1277</f>
        <v>4.74</v>
      </c>
      <c r="I1277" s="547"/>
      <c r="J1277" s="549"/>
      <c r="K1277" s="548"/>
      <c r="L1277" s="547"/>
      <c r="M1277" s="549"/>
      <c r="N1277" s="550"/>
      <c r="O1277" s="551"/>
    </row>
    <row r="1278" spans="1:15" s="552" customFormat="1" ht="18.75" customHeight="1" x14ac:dyDescent="0.25">
      <c r="A1278" s="543"/>
      <c r="B1278" s="544"/>
      <c r="C1278" s="513"/>
      <c r="D1278" s="545" t="s">
        <v>152</v>
      </c>
      <c r="E1278" s="514" t="s">
        <v>41</v>
      </c>
      <c r="F1278" s="546">
        <v>1</v>
      </c>
      <c r="G1278" s="547">
        <v>7.96</v>
      </c>
      <c r="H1278" s="548">
        <f>F1278*G1278</f>
        <v>7.96</v>
      </c>
      <c r="I1278" s="547"/>
      <c r="J1278" s="549"/>
      <c r="K1278" s="548"/>
      <c r="L1278" s="547"/>
      <c r="M1278" s="549"/>
      <c r="N1278" s="550"/>
      <c r="O1278" s="551"/>
    </row>
    <row r="1279" spans="1:15" s="189" customFormat="1" ht="11.25" x14ac:dyDescent="0.25">
      <c r="A1279" s="173"/>
      <c r="B1279" s="174"/>
      <c r="C1279" s="175"/>
      <c r="D1279" s="176"/>
      <c r="E1279" s="177"/>
      <c r="F1279" s="190"/>
      <c r="G1279" s="192"/>
      <c r="H1279" s="193"/>
      <c r="I1279" s="182"/>
      <c r="J1279" s="183"/>
      <c r="K1279" s="184"/>
      <c r="L1279" s="185"/>
      <c r="M1279" s="186"/>
      <c r="N1279" s="187"/>
      <c r="O1279" s="188"/>
    </row>
    <row r="1280" spans="1:15" s="23" customFormat="1" ht="14.25" x14ac:dyDescent="0.2">
      <c r="A1280" s="223" t="s">
        <v>39</v>
      </c>
      <c r="B1280" s="224" t="s">
        <v>157</v>
      </c>
      <c r="C1280" s="225" t="s">
        <v>990</v>
      </c>
      <c r="D1280" s="226" t="s">
        <v>200</v>
      </c>
      <c r="E1280" s="225" t="s">
        <v>41</v>
      </c>
      <c r="F1280" s="515">
        <f>'MEMÓRIA DE CÁLCULO'!N238</f>
        <v>2</v>
      </c>
      <c r="G1280" s="228"/>
      <c r="H1280" s="229">
        <f>ROUND(SUM(H1281:H1286),2)</f>
        <v>73.27</v>
      </c>
      <c r="I1280" s="230">
        <f>ROUND(SUM(I1281:I1286),2)</f>
        <v>77.069999999999993</v>
      </c>
      <c r="J1280" s="231">
        <f>(H1280+I1280)</f>
        <v>150.33999999999997</v>
      </c>
      <c r="K1280" s="229">
        <f>F1280*H1280</f>
        <v>146.54</v>
      </c>
      <c r="L1280" s="230">
        <f>F1280*I1280</f>
        <v>154.13999999999999</v>
      </c>
      <c r="M1280" s="231">
        <f>K1280+L1280</f>
        <v>300.67999999999995</v>
      </c>
      <c r="N1280" s="227">
        <f>M1280*$N$7</f>
        <v>81.424143999999984</v>
      </c>
      <c r="O1280" s="227">
        <f>M1280+N1280</f>
        <v>382.10414399999991</v>
      </c>
    </row>
    <row r="1281" spans="1:15" s="552" customFormat="1" ht="18.75" customHeight="1" x14ac:dyDescent="0.25">
      <c r="A1281" s="543"/>
      <c r="B1281" s="544"/>
      <c r="C1281" s="513">
        <v>246</v>
      </c>
      <c r="D1281" s="545" t="s">
        <v>764</v>
      </c>
      <c r="E1281" s="514" t="s">
        <v>42</v>
      </c>
      <c r="F1281" s="546">
        <v>3.5</v>
      </c>
      <c r="G1281" s="547">
        <v>9.4499999999999993</v>
      </c>
      <c r="H1281" s="548"/>
      <c r="I1281" s="547">
        <f>F1281*G1281</f>
        <v>33.074999999999996</v>
      </c>
      <c r="J1281" s="549"/>
      <c r="K1281" s="548"/>
      <c r="L1281" s="547"/>
      <c r="M1281" s="549"/>
      <c r="N1281" s="550"/>
      <c r="O1281" s="551"/>
    </row>
    <row r="1282" spans="1:15" s="552" customFormat="1" ht="18.75" customHeight="1" x14ac:dyDescent="0.25">
      <c r="A1282" s="543"/>
      <c r="B1282" s="544"/>
      <c r="C1282" s="513">
        <v>2696</v>
      </c>
      <c r="D1282" s="545" t="s">
        <v>765</v>
      </c>
      <c r="E1282" s="514" t="s">
        <v>42</v>
      </c>
      <c r="F1282" s="546">
        <v>3.5</v>
      </c>
      <c r="G1282" s="547">
        <v>12.57</v>
      </c>
      <c r="H1282" s="548"/>
      <c r="I1282" s="547">
        <f>F1282*G1282</f>
        <v>43.995000000000005</v>
      </c>
      <c r="J1282" s="549"/>
      <c r="K1282" s="548"/>
      <c r="L1282" s="547"/>
      <c r="M1282" s="549"/>
      <c r="N1282" s="550"/>
      <c r="O1282" s="551"/>
    </row>
    <row r="1283" spans="1:15" s="552" customFormat="1" ht="18.75" customHeight="1" x14ac:dyDescent="0.25">
      <c r="A1283" s="543"/>
      <c r="B1283" s="544"/>
      <c r="C1283" s="513"/>
      <c r="D1283" s="545" t="s">
        <v>158</v>
      </c>
      <c r="E1283" s="514" t="s">
        <v>41</v>
      </c>
      <c r="F1283" s="546">
        <v>1</v>
      </c>
      <c r="G1283" s="547">
        <v>8.14</v>
      </c>
      <c r="H1283" s="548">
        <f>F1283*G1283</f>
        <v>8.14</v>
      </c>
      <c r="I1283" s="547"/>
      <c r="J1283" s="549"/>
      <c r="K1283" s="548"/>
      <c r="L1283" s="547"/>
      <c r="M1283" s="549"/>
      <c r="N1283" s="550"/>
      <c r="O1283" s="551"/>
    </row>
    <row r="1284" spans="1:15" s="552" customFormat="1" ht="18.75" customHeight="1" x14ac:dyDescent="0.25">
      <c r="A1284" s="543"/>
      <c r="B1284" s="544"/>
      <c r="C1284" s="513"/>
      <c r="D1284" s="545" t="s">
        <v>159</v>
      </c>
      <c r="E1284" s="514" t="s">
        <v>56</v>
      </c>
      <c r="F1284" s="546">
        <v>6</v>
      </c>
      <c r="G1284" s="547">
        <v>7.19</v>
      </c>
      <c r="H1284" s="548">
        <f>F1284*G1284</f>
        <v>43.14</v>
      </c>
      <c r="I1284" s="547"/>
      <c r="J1284" s="549"/>
      <c r="K1284" s="548"/>
      <c r="L1284" s="547"/>
      <c r="M1284" s="549"/>
      <c r="N1284" s="550"/>
      <c r="O1284" s="551"/>
    </row>
    <row r="1285" spans="1:15" s="552" customFormat="1" ht="18.75" customHeight="1" x14ac:dyDescent="0.25">
      <c r="A1285" s="543"/>
      <c r="B1285" s="544"/>
      <c r="C1285" s="513"/>
      <c r="D1285" s="545" t="s">
        <v>160</v>
      </c>
      <c r="E1285" s="514" t="s">
        <v>41</v>
      </c>
      <c r="F1285" s="546">
        <v>1</v>
      </c>
      <c r="G1285" s="547">
        <v>12.83</v>
      </c>
      <c r="H1285" s="548">
        <f>F1285*G1285</f>
        <v>12.83</v>
      </c>
      <c r="I1285" s="547"/>
      <c r="J1285" s="549"/>
      <c r="K1285" s="548"/>
      <c r="L1285" s="547"/>
      <c r="M1285" s="549"/>
      <c r="N1285" s="550"/>
      <c r="O1285" s="551"/>
    </row>
    <row r="1286" spans="1:15" s="552" customFormat="1" ht="18.75" customHeight="1" x14ac:dyDescent="0.25">
      <c r="A1286" s="543"/>
      <c r="B1286" s="544"/>
      <c r="C1286" s="513"/>
      <c r="D1286" s="545" t="s">
        <v>161</v>
      </c>
      <c r="E1286" s="514" t="s">
        <v>41</v>
      </c>
      <c r="F1286" s="546">
        <v>2</v>
      </c>
      <c r="G1286" s="547">
        <v>4.58</v>
      </c>
      <c r="H1286" s="548">
        <f>F1286*G1286</f>
        <v>9.16</v>
      </c>
      <c r="I1286" s="547"/>
      <c r="J1286" s="549"/>
      <c r="K1286" s="548"/>
      <c r="L1286" s="547"/>
      <c r="M1286" s="549"/>
      <c r="N1286" s="550"/>
      <c r="O1286" s="551"/>
    </row>
    <row r="1287" spans="1:15" s="23" customFormat="1" ht="14.25" x14ac:dyDescent="0.2">
      <c r="A1287" s="223" t="s">
        <v>39</v>
      </c>
      <c r="B1287" s="224" t="s">
        <v>162</v>
      </c>
      <c r="C1287" s="225" t="s">
        <v>566</v>
      </c>
      <c r="D1287" s="226" t="s">
        <v>201</v>
      </c>
      <c r="E1287" s="225" t="s">
        <v>41</v>
      </c>
      <c r="F1287" s="515">
        <f>'MEMÓRIA DE CÁLCULO'!O238</f>
        <v>6</v>
      </c>
      <c r="G1287" s="228"/>
      <c r="H1287" s="229">
        <f>ROUND(SUM(H1288:H1293),2)</f>
        <v>44.22</v>
      </c>
      <c r="I1287" s="230">
        <f>ROUND(SUM(I1288:I1293),2)</f>
        <v>66.06</v>
      </c>
      <c r="J1287" s="231">
        <f>(H1287+I1287)</f>
        <v>110.28</v>
      </c>
      <c r="K1287" s="229">
        <f>F1287*H1287</f>
        <v>265.32</v>
      </c>
      <c r="L1287" s="230">
        <f>F1287*I1287</f>
        <v>396.36</v>
      </c>
      <c r="M1287" s="231">
        <f>K1287+L1287</f>
        <v>661.68000000000006</v>
      </c>
      <c r="N1287" s="227">
        <f>M1287*$N$7</f>
        <v>179.18294400000002</v>
      </c>
      <c r="O1287" s="227">
        <f>M1287+N1287</f>
        <v>840.86294400000008</v>
      </c>
    </row>
    <row r="1288" spans="1:15" s="552" customFormat="1" ht="18.75" customHeight="1" x14ac:dyDescent="0.25">
      <c r="A1288" s="543"/>
      <c r="B1288" s="544"/>
      <c r="C1288" s="513">
        <v>246</v>
      </c>
      <c r="D1288" s="545" t="s">
        <v>764</v>
      </c>
      <c r="E1288" s="514" t="s">
        <v>42</v>
      </c>
      <c r="F1288" s="546">
        <v>3</v>
      </c>
      <c r="G1288" s="547">
        <v>9.4499999999999993</v>
      </c>
      <c r="H1288" s="548"/>
      <c r="I1288" s="547">
        <f>F1288*G1288</f>
        <v>28.349999999999998</v>
      </c>
      <c r="J1288" s="549"/>
      <c r="K1288" s="548"/>
      <c r="L1288" s="547"/>
      <c r="M1288" s="549"/>
      <c r="N1288" s="550"/>
      <c r="O1288" s="551"/>
    </row>
    <row r="1289" spans="1:15" s="552" customFormat="1" ht="18.75" customHeight="1" x14ac:dyDescent="0.25">
      <c r="A1289" s="543"/>
      <c r="B1289" s="544"/>
      <c r="C1289" s="513">
        <v>2696</v>
      </c>
      <c r="D1289" s="545" t="s">
        <v>765</v>
      </c>
      <c r="E1289" s="514" t="s">
        <v>42</v>
      </c>
      <c r="F1289" s="546">
        <v>3</v>
      </c>
      <c r="G1289" s="547">
        <v>12.57</v>
      </c>
      <c r="H1289" s="548"/>
      <c r="I1289" s="547">
        <f>F1289*G1289</f>
        <v>37.71</v>
      </c>
      <c r="J1289" s="549"/>
      <c r="K1289" s="548"/>
      <c r="L1289" s="547"/>
      <c r="M1289" s="549"/>
      <c r="N1289" s="550"/>
      <c r="O1289" s="551"/>
    </row>
    <row r="1290" spans="1:15" s="552" customFormat="1" ht="18.75" customHeight="1" x14ac:dyDescent="0.25">
      <c r="A1290" s="543"/>
      <c r="B1290" s="544"/>
      <c r="C1290" s="513"/>
      <c r="D1290" s="545" t="s">
        <v>163</v>
      </c>
      <c r="E1290" s="514" t="s">
        <v>56</v>
      </c>
      <c r="F1290" s="546">
        <v>6</v>
      </c>
      <c r="G1290" s="547">
        <v>4.43</v>
      </c>
      <c r="H1290" s="548">
        <f>F1290*G1290</f>
        <v>26.58</v>
      </c>
      <c r="I1290" s="547"/>
      <c r="J1290" s="549"/>
      <c r="K1290" s="548"/>
      <c r="L1290" s="547"/>
      <c r="M1290" s="549"/>
      <c r="N1290" s="550"/>
      <c r="O1290" s="551"/>
    </row>
    <row r="1291" spans="1:15" s="552" customFormat="1" ht="18.75" customHeight="1" x14ac:dyDescent="0.25">
      <c r="A1291" s="543"/>
      <c r="B1291" s="544"/>
      <c r="C1291" s="513"/>
      <c r="D1291" s="545" t="s">
        <v>164</v>
      </c>
      <c r="E1291" s="514" t="s">
        <v>41</v>
      </c>
      <c r="F1291" s="546">
        <v>1</v>
      </c>
      <c r="G1291" s="547">
        <v>3.62</v>
      </c>
      <c r="H1291" s="548">
        <f>F1291*G1291</f>
        <v>3.62</v>
      </c>
      <c r="I1291" s="547"/>
      <c r="J1291" s="549"/>
      <c r="K1291" s="548"/>
      <c r="L1291" s="547"/>
      <c r="M1291" s="549"/>
      <c r="N1291" s="550"/>
      <c r="O1291" s="551"/>
    </row>
    <row r="1292" spans="1:15" s="552" customFormat="1" ht="18.75" customHeight="1" x14ac:dyDescent="0.25">
      <c r="A1292" s="543"/>
      <c r="B1292" s="544"/>
      <c r="C1292" s="513"/>
      <c r="D1292" s="545" t="s">
        <v>165</v>
      </c>
      <c r="E1292" s="514" t="s">
        <v>41</v>
      </c>
      <c r="F1292" s="546">
        <v>1</v>
      </c>
      <c r="G1292" s="547">
        <v>8.3800000000000008</v>
      </c>
      <c r="H1292" s="548">
        <f>F1292*G1292</f>
        <v>8.3800000000000008</v>
      </c>
      <c r="I1292" s="547"/>
      <c r="J1292" s="549"/>
      <c r="K1292" s="548"/>
      <c r="L1292" s="547"/>
      <c r="M1292" s="549"/>
      <c r="N1292" s="550"/>
      <c r="O1292" s="551"/>
    </row>
    <row r="1293" spans="1:15" s="552" customFormat="1" ht="18.75" customHeight="1" x14ac:dyDescent="0.25">
      <c r="A1293" s="543"/>
      <c r="B1293" s="544"/>
      <c r="C1293" s="513"/>
      <c r="D1293" s="545" t="s">
        <v>166</v>
      </c>
      <c r="E1293" s="514" t="s">
        <v>41</v>
      </c>
      <c r="F1293" s="546">
        <v>2</v>
      </c>
      <c r="G1293" s="547">
        <v>2.82</v>
      </c>
      <c r="H1293" s="548">
        <f>F1293*G1293</f>
        <v>5.64</v>
      </c>
      <c r="I1293" s="547"/>
      <c r="J1293" s="549"/>
      <c r="K1293" s="548"/>
      <c r="L1293" s="547"/>
      <c r="M1293" s="549"/>
      <c r="N1293" s="550"/>
      <c r="O1293" s="551"/>
    </row>
    <row r="1294" spans="1:15" s="179" customFormat="1" ht="15" customHeight="1" x14ac:dyDescent="0.25">
      <c r="A1294" s="202"/>
      <c r="B1294" s="190"/>
      <c r="C1294" s="203"/>
      <c r="D1294" s="190"/>
      <c r="E1294" s="203"/>
      <c r="F1294" s="178"/>
      <c r="G1294" s="191"/>
      <c r="H1294" s="204"/>
      <c r="I1294" s="200"/>
      <c r="J1294" s="201"/>
      <c r="K1294" s="203"/>
      <c r="L1294" s="182"/>
      <c r="M1294" s="183"/>
      <c r="N1294" s="205"/>
      <c r="O1294" s="188"/>
    </row>
    <row r="1295" spans="1:15" s="23" customFormat="1" ht="14.25" x14ac:dyDescent="0.2">
      <c r="A1295" s="223"/>
      <c r="B1295" s="224"/>
      <c r="C1295" s="225"/>
      <c r="D1295" s="226" t="s">
        <v>32</v>
      </c>
      <c r="E1295" s="225"/>
      <c r="F1295" s="515"/>
      <c r="G1295" s="228"/>
      <c r="H1295" s="229"/>
      <c r="I1295" s="229"/>
      <c r="J1295" s="231"/>
      <c r="K1295" s="229"/>
      <c r="L1295" s="230"/>
      <c r="M1295" s="231"/>
      <c r="N1295" s="227"/>
      <c r="O1295" s="227"/>
    </row>
    <row r="1296" spans="1:15" s="23" customFormat="1" ht="14.25" x14ac:dyDescent="0.2">
      <c r="A1296" s="134"/>
      <c r="B1296" s="129"/>
      <c r="C1296" s="29"/>
      <c r="D1296" s="117" t="s">
        <v>83</v>
      </c>
      <c r="E1296" s="30"/>
      <c r="F1296" s="118"/>
      <c r="G1296" s="31"/>
      <c r="H1296" s="104"/>
      <c r="I1296" s="27"/>
      <c r="J1296" s="105"/>
      <c r="K1296" s="31"/>
      <c r="L1296" s="31"/>
      <c r="M1296" s="111"/>
      <c r="N1296" s="92"/>
      <c r="O1296" s="92"/>
    </row>
    <row r="1297" spans="1:15" s="23" customFormat="1" ht="22.5" x14ac:dyDescent="0.2">
      <c r="A1297" s="223" t="s">
        <v>78</v>
      </c>
      <c r="B1297" s="224" t="s">
        <v>34</v>
      </c>
      <c r="C1297" s="225" t="s">
        <v>567</v>
      </c>
      <c r="D1297" s="226" t="s">
        <v>785</v>
      </c>
      <c r="E1297" s="225" t="s">
        <v>81</v>
      </c>
      <c r="F1297" s="515">
        <f>'MEMÓRIA DE CÁLCULO'!Z238</f>
        <v>3</v>
      </c>
      <c r="G1297" s="228"/>
      <c r="H1297" s="229">
        <f>ROUND(SUM(H1298:H1301),2)</f>
        <v>46.17</v>
      </c>
      <c r="I1297" s="229">
        <f>ROUND(SUM(I1298:I1301),2)</f>
        <v>13.43</v>
      </c>
      <c r="J1297" s="231">
        <f>(H1297+I1297)</f>
        <v>59.6</v>
      </c>
      <c r="K1297" s="229">
        <f>F1297*H1297</f>
        <v>138.51</v>
      </c>
      <c r="L1297" s="230">
        <f>F1297*I1297</f>
        <v>40.29</v>
      </c>
      <c r="M1297" s="231">
        <f>K1297+L1297</f>
        <v>178.79999999999998</v>
      </c>
      <c r="N1297" s="227">
        <f>M1297*$N$7</f>
        <v>48.419039999999995</v>
      </c>
      <c r="O1297" s="227">
        <f>M1297+N1297</f>
        <v>227.21903999999998</v>
      </c>
    </row>
    <row r="1298" spans="1:15" s="552" customFormat="1" ht="18.75" customHeight="1" x14ac:dyDescent="0.25">
      <c r="A1298" s="543"/>
      <c r="B1298" s="544"/>
      <c r="C1298" s="513">
        <v>246</v>
      </c>
      <c r="D1298" s="545" t="s">
        <v>766</v>
      </c>
      <c r="E1298" s="514" t="s">
        <v>42</v>
      </c>
      <c r="F1298" s="546">
        <v>0.61</v>
      </c>
      <c r="G1298" s="547">
        <v>9.4499999999999993</v>
      </c>
      <c r="H1298" s="548"/>
      <c r="I1298" s="547">
        <f>F1298*G1298</f>
        <v>5.7644999999999991</v>
      </c>
      <c r="J1298" s="549"/>
      <c r="K1298" s="548"/>
      <c r="L1298" s="547"/>
      <c r="M1298" s="549"/>
      <c r="N1298" s="550"/>
      <c r="O1298" s="551"/>
    </row>
    <row r="1299" spans="1:15" s="552" customFormat="1" ht="18.75" customHeight="1" x14ac:dyDescent="0.25">
      <c r="A1299" s="543"/>
      <c r="B1299" s="544"/>
      <c r="C1299" s="513">
        <v>2696</v>
      </c>
      <c r="D1299" s="545" t="s">
        <v>765</v>
      </c>
      <c r="E1299" s="514" t="s">
        <v>42</v>
      </c>
      <c r="F1299" s="546">
        <v>0.61</v>
      </c>
      <c r="G1299" s="547">
        <v>12.57</v>
      </c>
      <c r="H1299" s="548"/>
      <c r="I1299" s="547">
        <f>F1299*G1299</f>
        <v>7.6677</v>
      </c>
      <c r="J1299" s="549"/>
      <c r="K1299" s="548"/>
      <c r="L1299" s="547"/>
      <c r="M1299" s="549"/>
      <c r="N1299" s="550"/>
      <c r="O1299" s="551"/>
    </row>
    <row r="1300" spans="1:15" s="552" customFormat="1" ht="18.75" customHeight="1" x14ac:dyDescent="0.25">
      <c r="A1300" s="543"/>
      <c r="B1300" s="544"/>
      <c r="C1300" s="513">
        <v>3146</v>
      </c>
      <c r="D1300" s="545" t="s">
        <v>746</v>
      </c>
      <c r="E1300" s="514" t="s">
        <v>81</v>
      </c>
      <c r="F1300" s="546">
        <v>9.4E-2</v>
      </c>
      <c r="G1300" s="547">
        <v>2.31</v>
      </c>
      <c r="H1300" s="548">
        <f>F1300*G1300</f>
        <v>0.21714</v>
      </c>
      <c r="I1300" s="547"/>
      <c r="J1300" s="549"/>
      <c r="K1300" s="548"/>
      <c r="L1300" s="547"/>
      <c r="M1300" s="549"/>
      <c r="N1300" s="550"/>
      <c r="O1300" s="551"/>
    </row>
    <row r="1301" spans="1:15" s="552" customFormat="1" ht="18.75" customHeight="1" x14ac:dyDescent="0.25">
      <c r="A1301" s="543"/>
      <c r="B1301" s="544"/>
      <c r="C1301" s="513">
        <v>6005</v>
      </c>
      <c r="D1301" s="545" t="s">
        <v>748</v>
      </c>
      <c r="E1301" s="514" t="s">
        <v>41</v>
      </c>
      <c r="F1301" s="546">
        <v>1</v>
      </c>
      <c r="G1301" s="547">
        <v>45.95</v>
      </c>
      <c r="H1301" s="548">
        <f>F1301*G1301</f>
        <v>45.95</v>
      </c>
      <c r="I1301" s="547"/>
      <c r="J1301" s="549"/>
      <c r="K1301" s="548"/>
      <c r="L1301" s="547"/>
      <c r="M1301" s="549"/>
      <c r="N1301" s="550"/>
      <c r="O1301" s="551"/>
    </row>
    <row r="1302" spans="1:15" s="23" customFormat="1" ht="14.25" x14ac:dyDescent="0.2">
      <c r="A1302" s="134"/>
      <c r="B1302" s="129"/>
      <c r="C1302" s="29"/>
      <c r="D1302" s="117" t="s">
        <v>83</v>
      </c>
      <c r="E1302" s="30"/>
      <c r="F1302" s="118"/>
      <c r="G1302" s="31"/>
      <c r="H1302" s="104"/>
      <c r="I1302" s="27"/>
      <c r="J1302" s="105"/>
      <c r="K1302" s="31"/>
      <c r="L1302" s="31"/>
      <c r="M1302" s="111"/>
      <c r="N1302" s="92"/>
      <c r="O1302" s="92"/>
    </row>
    <row r="1303" spans="1:15" s="23" customFormat="1" ht="14.25" x14ac:dyDescent="0.2">
      <c r="A1303" s="135"/>
      <c r="B1303" s="120"/>
      <c r="C1303" s="122"/>
      <c r="D1303" s="124" t="s">
        <v>37</v>
      </c>
      <c r="E1303" s="122"/>
      <c r="F1303" s="90"/>
      <c r="G1303" s="116"/>
      <c r="H1303" s="102"/>
      <c r="I1303" s="35"/>
      <c r="J1303" s="103"/>
      <c r="K1303" s="141"/>
      <c r="L1303" s="35"/>
      <c r="M1303" s="103"/>
      <c r="N1303" s="90"/>
      <c r="O1303" s="90"/>
    </row>
    <row r="1304" spans="1:15" s="23" customFormat="1" ht="14.25" x14ac:dyDescent="0.2">
      <c r="A1304" s="134"/>
      <c r="B1304" s="129"/>
      <c r="C1304" s="29"/>
      <c r="D1304" s="117" t="s">
        <v>83</v>
      </c>
      <c r="E1304" s="30"/>
      <c r="F1304" s="118"/>
      <c r="G1304" s="31"/>
      <c r="H1304" s="104"/>
      <c r="I1304" s="27"/>
      <c r="J1304" s="105"/>
      <c r="K1304" s="31"/>
      <c r="L1304" s="31"/>
      <c r="M1304" s="111"/>
      <c r="N1304" s="92"/>
      <c r="O1304" s="92"/>
    </row>
    <row r="1305" spans="1:15" s="23" customFormat="1" ht="22.5" x14ac:dyDescent="0.2">
      <c r="A1305" s="223" t="s">
        <v>78</v>
      </c>
      <c r="B1305" s="224">
        <v>40777</v>
      </c>
      <c r="C1305" s="225" t="s">
        <v>568</v>
      </c>
      <c r="D1305" s="226" t="s">
        <v>0</v>
      </c>
      <c r="E1305" s="225" t="s">
        <v>81</v>
      </c>
      <c r="F1305" s="515">
        <v>2</v>
      </c>
      <c r="G1305" s="228"/>
      <c r="H1305" s="229">
        <f>ROUND(SUM(H1306:H1308),2)</f>
        <v>5.83</v>
      </c>
      <c r="I1305" s="229">
        <f>ROUND(SUM(I1306:I1308),2)</f>
        <v>11.01</v>
      </c>
      <c r="J1305" s="231">
        <f>(H1305+I1305)</f>
        <v>16.84</v>
      </c>
      <c r="K1305" s="229">
        <f>F1305*H1305</f>
        <v>11.66</v>
      </c>
      <c r="L1305" s="230">
        <f>F1305*I1305</f>
        <v>22.02</v>
      </c>
      <c r="M1305" s="231">
        <f>K1305+L1305</f>
        <v>33.68</v>
      </c>
      <c r="N1305" s="227">
        <f>M1305*$N$7</f>
        <v>9.1205439999999989</v>
      </c>
      <c r="O1305" s="227">
        <f>M1305+N1305</f>
        <v>42.800544000000002</v>
      </c>
    </row>
    <row r="1306" spans="1:15" s="552" customFormat="1" ht="18.75" customHeight="1" x14ac:dyDescent="0.25">
      <c r="A1306" s="543"/>
      <c r="B1306" s="544"/>
      <c r="C1306" s="513">
        <v>2696</v>
      </c>
      <c r="D1306" s="545" t="s">
        <v>765</v>
      </c>
      <c r="E1306" s="514" t="s">
        <v>42</v>
      </c>
      <c r="F1306" s="546">
        <v>0.5</v>
      </c>
      <c r="G1306" s="547">
        <v>12.57</v>
      </c>
      <c r="H1306" s="548"/>
      <c r="I1306" s="547">
        <f>F1306*G1306</f>
        <v>6.2850000000000001</v>
      </c>
      <c r="J1306" s="549"/>
      <c r="K1306" s="548"/>
      <c r="L1306" s="547"/>
      <c r="M1306" s="549"/>
      <c r="N1306" s="550"/>
      <c r="O1306" s="551"/>
    </row>
    <row r="1307" spans="1:15" s="552" customFormat="1" ht="18.75" customHeight="1" x14ac:dyDescent="0.25">
      <c r="A1307" s="543"/>
      <c r="B1307" s="544"/>
      <c r="C1307" s="513">
        <v>246</v>
      </c>
      <c r="D1307" s="545" t="s">
        <v>766</v>
      </c>
      <c r="E1307" s="514" t="s">
        <v>42</v>
      </c>
      <c r="F1307" s="546">
        <v>0.5</v>
      </c>
      <c r="G1307" s="547">
        <v>9.4499999999999993</v>
      </c>
      <c r="H1307" s="548"/>
      <c r="I1307" s="547">
        <f>F1307*G1307</f>
        <v>4.7249999999999996</v>
      </c>
      <c r="J1307" s="549"/>
      <c r="K1307" s="548"/>
      <c r="L1307" s="547"/>
      <c r="M1307" s="549"/>
      <c r="N1307" s="550"/>
      <c r="O1307" s="551"/>
    </row>
    <row r="1308" spans="1:15" s="552" customFormat="1" ht="18.75" customHeight="1" x14ac:dyDescent="0.25">
      <c r="A1308" s="543"/>
      <c r="B1308" s="544"/>
      <c r="C1308" s="513">
        <v>11745</v>
      </c>
      <c r="D1308" s="545" t="s">
        <v>749</v>
      </c>
      <c r="E1308" s="514" t="s">
        <v>81</v>
      </c>
      <c r="F1308" s="546">
        <v>1</v>
      </c>
      <c r="G1308" s="547">
        <v>5.83</v>
      </c>
      <c r="H1308" s="548">
        <f>F1308*G1308</f>
        <v>5.83</v>
      </c>
      <c r="I1308" s="547"/>
      <c r="J1308" s="549"/>
      <c r="K1308" s="548"/>
      <c r="L1308" s="547"/>
      <c r="M1308" s="549"/>
      <c r="N1308" s="550"/>
      <c r="O1308" s="551"/>
    </row>
    <row r="1309" spans="1:15" s="23" customFormat="1" ht="14.25" x14ac:dyDescent="0.2">
      <c r="A1309" s="134"/>
      <c r="B1309" s="129"/>
      <c r="C1309" s="29"/>
      <c r="D1309" s="117" t="s">
        <v>83</v>
      </c>
      <c r="E1309" s="30"/>
      <c r="F1309" s="118"/>
      <c r="G1309" s="31"/>
      <c r="H1309" s="104"/>
      <c r="I1309" s="27"/>
      <c r="J1309" s="105"/>
      <c r="K1309" s="31"/>
      <c r="L1309" s="31"/>
      <c r="M1309" s="111"/>
      <c r="N1309" s="92"/>
      <c r="O1309" s="92"/>
    </row>
    <row r="1310" spans="1:15" s="23" customFormat="1" ht="14.25" x14ac:dyDescent="0.2">
      <c r="A1310" s="135"/>
      <c r="B1310" s="120"/>
      <c r="C1310" s="122"/>
      <c r="D1310" s="124" t="s">
        <v>38</v>
      </c>
      <c r="E1310" s="122"/>
      <c r="F1310" s="90"/>
      <c r="G1310" s="116"/>
      <c r="H1310" s="102"/>
      <c r="I1310" s="35"/>
      <c r="J1310" s="103"/>
      <c r="K1310" s="141"/>
      <c r="L1310" s="35"/>
      <c r="M1310" s="103"/>
      <c r="N1310" s="90"/>
      <c r="O1310" s="90"/>
    </row>
    <row r="1311" spans="1:15" s="23" customFormat="1" ht="14.25" x14ac:dyDescent="0.2">
      <c r="A1311" s="134"/>
      <c r="B1311" s="129"/>
      <c r="C1311" s="29"/>
      <c r="D1311" s="117"/>
      <c r="E1311" s="30"/>
      <c r="F1311" s="118"/>
      <c r="G1311" s="31"/>
      <c r="H1311" s="104"/>
      <c r="I1311" s="27"/>
      <c r="J1311" s="105"/>
      <c r="K1311" s="31"/>
      <c r="L1311" s="31"/>
      <c r="M1311" s="111"/>
      <c r="N1311" s="92"/>
      <c r="O1311" s="92"/>
    </row>
    <row r="1312" spans="1:15" s="23" customFormat="1" ht="22.5" x14ac:dyDescent="0.2">
      <c r="A1312" s="223" t="s">
        <v>39</v>
      </c>
      <c r="B1312" s="224" t="s">
        <v>40</v>
      </c>
      <c r="C1312" s="225" t="s">
        <v>569</v>
      </c>
      <c r="D1312" s="226" t="s">
        <v>485</v>
      </c>
      <c r="E1312" s="225" t="s">
        <v>41</v>
      </c>
      <c r="F1312" s="515">
        <f>'MEMÓRIA DE CÁLCULO'!P238</f>
        <v>2</v>
      </c>
      <c r="G1312" s="228"/>
      <c r="H1312" s="229">
        <f>ROUND(SUM(H1313:H1322),2)</f>
        <v>466.53</v>
      </c>
      <c r="I1312" s="230">
        <f>ROUND(SUM(I1313:I1322),2)</f>
        <v>66.06</v>
      </c>
      <c r="J1312" s="231">
        <f>(H1312+I1312)</f>
        <v>532.58999999999992</v>
      </c>
      <c r="K1312" s="229">
        <f>F1312*H1312</f>
        <v>933.06</v>
      </c>
      <c r="L1312" s="230">
        <f>F1312*I1312</f>
        <v>132.12</v>
      </c>
      <c r="M1312" s="231">
        <f>K1312+L1312</f>
        <v>1065.1799999999998</v>
      </c>
      <c r="N1312" s="227">
        <f>M1312*$N$7</f>
        <v>288.45074399999993</v>
      </c>
      <c r="O1312" s="227">
        <f>M1312+N1312</f>
        <v>1353.6307439999998</v>
      </c>
    </row>
    <row r="1313" spans="1:15" s="552" customFormat="1" ht="18.75" customHeight="1" x14ac:dyDescent="0.25">
      <c r="A1313" s="543"/>
      <c r="B1313" s="544"/>
      <c r="C1313" s="513">
        <v>246</v>
      </c>
      <c r="D1313" s="545" t="s">
        <v>766</v>
      </c>
      <c r="E1313" s="514" t="s">
        <v>42</v>
      </c>
      <c r="F1313" s="546">
        <v>3</v>
      </c>
      <c r="G1313" s="547">
        <v>9.4499999999999993</v>
      </c>
      <c r="H1313" s="548"/>
      <c r="I1313" s="547">
        <f>F1313*G1313</f>
        <v>28.349999999999998</v>
      </c>
      <c r="J1313" s="549"/>
      <c r="K1313" s="548"/>
      <c r="L1313" s="547"/>
      <c r="M1313" s="549"/>
      <c r="N1313" s="550"/>
      <c r="O1313" s="551"/>
    </row>
    <row r="1314" spans="1:15" s="552" customFormat="1" ht="18.75" customHeight="1" x14ac:dyDescent="0.25">
      <c r="A1314" s="543"/>
      <c r="B1314" s="544"/>
      <c r="C1314" s="513">
        <v>2696</v>
      </c>
      <c r="D1314" s="545" t="s">
        <v>765</v>
      </c>
      <c r="E1314" s="514" t="s">
        <v>42</v>
      </c>
      <c r="F1314" s="546">
        <v>3</v>
      </c>
      <c r="G1314" s="547">
        <v>12.57</v>
      </c>
      <c r="H1314" s="548"/>
      <c r="I1314" s="547">
        <f>F1314*G1314</f>
        <v>37.71</v>
      </c>
      <c r="J1314" s="549"/>
      <c r="K1314" s="548"/>
      <c r="L1314" s="547"/>
      <c r="M1314" s="549"/>
      <c r="N1314" s="550"/>
      <c r="O1314" s="551"/>
    </row>
    <row r="1315" spans="1:15" s="552" customFormat="1" ht="18.75" customHeight="1" x14ac:dyDescent="0.25">
      <c r="A1315" s="543"/>
      <c r="B1315" s="544"/>
      <c r="C1315" s="513" t="s">
        <v>28</v>
      </c>
      <c r="D1315" s="545" t="s">
        <v>938</v>
      </c>
      <c r="E1315" s="514" t="s">
        <v>41</v>
      </c>
      <c r="F1315" s="546">
        <v>1</v>
      </c>
      <c r="G1315" s="547">
        <v>360</v>
      </c>
      <c r="H1315" s="548">
        <f>F1315*G1315</f>
        <v>360</v>
      </c>
      <c r="I1315" s="547"/>
      <c r="J1315" s="549"/>
      <c r="K1315" s="548"/>
      <c r="L1315" s="547"/>
      <c r="M1315" s="549"/>
      <c r="N1315" s="550"/>
      <c r="O1315" s="551"/>
    </row>
    <row r="1316" spans="1:15" s="552" customFormat="1" ht="18.75" customHeight="1" x14ac:dyDescent="0.25">
      <c r="A1316" s="543"/>
      <c r="B1316" s="544"/>
      <c r="C1316" s="513"/>
      <c r="D1316" s="545" t="s">
        <v>44</v>
      </c>
      <c r="E1316" s="514" t="s">
        <v>41</v>
      </c>
      <c r="F1316" s="546">
        <v>1</v>
      </c>
      <c r="G1316" s="547">
        <v>4.32</v>
      </c>
      <c r="H1316" s="548">
        <f t="shared" ref="H1316:H1322" si="170">F1316*G1316</f>
        <v>4.32</v>
      </c>
      <c r="I1316" s="547"/>
      <c r="J1316" s="549"/>
      <c r="K1316" s="548"/>
      <c r="L1316" s="547"/>
      <c r="M1316" s="549"/>
      <c r="N1316" s="550"/>
      <c r="O1316" s="551"/>
    </row>
    <row r="1317" spans="1:15" s="552" customFormat="1" ht="18.75" customHeight="1" x14ac:dyDescent="0.25">
      <c r="A1317" s="543"/>
      <c r="B1317" s="544"/>
      <c r="C1317" s="513"/>
      <c r="D1317" s="545" t="s">
        <v>45</v>
      </c>
      <c r="E1317" s="514" t="s">
        <v>41</v>
      </c>
      <c r="F1317" s="546">
        <v>2</v>
      </c>
      <c r="G1317" s="547">
        <v>2.2000000000000002</v>
      </c>
      <c r="H1317" s="548">
        <f t="shared" si="170"/>
        <v>4.4000000000000004</v>
      </c>
      <c r="I1317" s="547"/>
      <c r="J1317" s="549"/>
      <c r="K1317" s="548"/>
      <c r="L1317" s="547"/>
      <c r="M1317" s="549"/>
      <c r="N1317" s="550"/>
      <c r="O1317" s="551"/>
    </row>
    <row r="1318" spans="1:15" s="552" customFormat="1" ht="18.75" customHeight="1" x14ac:dyDescent="0.25">
      <c r="A1318" s="543"/>
      <c r="B1318" s="544"/>
      <c r="C1318" s="513" t="s">
        <v>28</v>
      </c>
      <c r="D1318" s="545" t="s">
        <v>486</v>
      </c>
      <c r="E1318" s="514" t="s">
        <v>41</v>
      </c>
      <c r="F1318" s="546">
        <v>1</v>
      </c>
      <c r="G1318" s="547">
        <v>94.8</v>
      </c>
      <c r="H1318" s="548">
        <f t="shared" si="170"/>
        <v>94.8</v>
      </c>
      <c r="I1318" s="547"/>
      <c r="J1318" s="549"/>
      <c r="K1318" s="548"/>
      <c r="L1318" s="547"/>
      <c r="M1318" s="549"/>
      <c r="N1318" s="550"/>
      <c r="O1318" s="551"/>
    </row>
    <row r="1319" spans="1:15" s="552" customFormat="1" ht="18.75" customHeight="1" x14ac:dyDescent="0.25">
      <c r="A1319" s="543"/>
      <c r="B1319" s="544"/>
      <c r="C1319" s="513"/>
      <c r="D1319" s="545" t="s">
        <v>46</v>
      </c>
      <c r="E1319" s="514" t="s">
        <v>41</v>
      </c>
      <c r="F1319" s="546">
        <v>1</v>
      </c>
      <c r="G1319" s="547">
        <v>2.4</v>
      </c>
      <c r="H1319" s="548">
        <f t="shared" si="170"/>
        <v>2.4</v>
      </c>
      <c r="I1319" s="547"/>
      <c r="J1319" s="549"/>
      <c r="K1319" s="548"/>
      <c r="L1319" s="547"/>
      <c r="M1319" s="549"/>
      <c r="N1319" s="550"/>
      <c r="O1319" s="551"/>
    </row>
    <row r="1320" spans="1:15" s="552" customFormat="1" ht="18.75" customHeight="1" x14ac:dyDescent="0.25">
      <c r="A1320" s="543"/>
      <c r="B1320" s="544"/>
      <c r="C1320" s="513"/>
      <c r="D1320" s="545" t="s">
        <v>47</v>
      </c>
      <c r="E1320" s="514" t="s">
        <v>41</v>
      </c>
      <c r="F1320" s="546">
        <v>2</v>
      </c>
      <c r="G1320" s="547">
        <v>0.17</v>
      </c>
      <c r="H1320" s="548">
        <f t="shared" si="170"/>
        <v>0.34</v>
      </c>
      <c r="I1320" s="547"/>
      <c r="J1320" s="549"/>
      <c r="K1320" s="548"/>
      <c r="L1320" s="547"/>
      <c r="M1320" s="549"/>
      <c r="N1320" s="550"/>
      <c r="O1320" s="551"/>
    </row>
    <row r="1321" spans="1:15" s="552" customFormat="1" ht="18.75" customHeight="1" x14ac:dyDescent="0.25">
      <c r="A1321" s="543"/>
      <c r="B1321" s="544"/>
      <c r="C1321" s="513"/>
      <c r="D1321" s="545" t="s">
        <v>36</v>
      </c>
      <c r="E1321" s="514" t="s">
        <v>48</v>
      </c>
      <c r="F1321" s="546">
        <v>0.1</v>
      </c>
      <c r="G1321" s="547">
        <v>2</v>
      </c>
      <c r="H1321" s="548">
        <f t="shared" si="170"/>
        <v>0.2</v>
      </c>
      <c r="I1321" s="547"/>
      <c r="J1321" s="549"/>
      <c r="K1321" s="548"/>
      <c r="L1321" s="547"/>
      <c r="M1321" s="549"/>
      <c r="N1321" s="550"/>
      <c r="O1321" s="551"/>
    </row>
    <row r="1322" spans="1:15" s="552" customFormat="1" ht="18.75" customHeight="1" x14ac:dyDescent="0.25">
      <c r="A1322" s="543"/>
      <c r="B1322" s="544"/>
      <c r="C1322" s="513"/>
      <c r="D1322" s="545" t="s">
        <v>35</v>
      </c>
      <c r="E1322" s="514" t="s">
        <v>41</v>
      </c>
      <c r="F1322" s="546">
        <v>0.56000000000000005</v>
      </c>
      <c r="G1322" s="547">
        <v>0.13</v>
      </c>
      <c r="H1322" s="548">
        <f t="shared" si="170"/>
        <v>7.2800000000000004E-2</v>
      </c>
      <c r="I1322" s="547"/>
      <c r="J1322" s="549"/>
      <c r="K1322" s="548"/>
      <c r="L1322" s="547"/>
      <c r="M1322" s="549"/>
      <c r="N1322" s="550"/>
      <c r="O1322" s="551"/>
    </row>
    <row r="1323" spans="1:15" s="23" customFormat="1" ht="14.25" x14ac:dyDescent="0.2">
      <c r="A1323" s="136"/>
      <c r="B1323" s="128"/>
      <c r="C1323" s="32"/>
      <c r="D1323" s="123"/>
      <c r="E1323" s="32"/>
      <c r="F1323" s="481"/>
      <c r="G1323" s="482"/>
      <c r="H1323" s="483"/>
      <c r="I1323" s="484"/>
      <c r="J1323" s="485"/>
      <c r="K1323" s="482"/>
      <c r="L1323" s="482"/>
      <c r="M1323" s="486"/>
      <c r="N1323" s="91"/>
      <c r="O1323" s="91"/>
    </row>
    <row r="1324" spans="1:15" s="23" customFormat="1" ht="33.75" x14ac:dyDescent="0.2">
      <c r="A1324" s="223" t="s">
        <v>39</v>
      </c>
      <c r="B1324" s="224" t="s">
        <v>487</v>
      </c>
      <c r="C1324" s="225" t="s">
        <v>570</v>
      </c>
      <c r="D1324" s="226" t="s">
        <v>488</v>
      </c>
      <c r="E1324" s="225" t="s">
        <v>41</v>
      </c>
      <c r="F1324" s="515">
        <f>'MEMÓRIA DE CÁLCULO'!Q225</f>
        <v>0</v>
      </c>
      <c r="G1324" s="228"/>
      <c r="H1324" s="229">
        <f>ROUND(SUM(H1325:H1335),2)</f>
        <v>264.60000000000002</v>
      </c>
      <c r="I1324" s="230">
        <f>ROUND(SUM(I1325:I1335),2)</f>
        <v>72.67</v>
      </c>
      <c r="J1324" s="231">
        <f>(H1324+I1324)</f>
        <v>337.27000000000004</v>
      </c>
      <c r="K1324" s="229">
        <f>F1324*H1324</f>
        <v>0</v>
      </c>
      <c r="L1324" s="230">
        <f>F1324*I1324</f>
        <v>0</v>
      </c>
      <c r="M1324" s="231">
        <f>K1324+L1324</f>
        <v>0</v>
      </c>
      <c r="N1324" s="227">
        <f>M1324*$N$7</f>
        <v>0</v>
      </c>
      <c r="O1324" s="227">
        <f>M1324+N1324</f>
        <v>0</v>
      </c>
    </row>
    <row r="1325" spans="1:15" s="552" customFormat="1" ht="18.75" customHeight="1" x14ac:dyDescent="0.25">
      <c r="A1325" s="543"/>
      <c r="B1325" s="544"/>
      <c r="C1325" s="513">
        <v>246</v>
      </c>
      <c r="D1325" s="545" t="s">
        <v>766</v>
      </c>
      <c r="E1325" s="514" t="s">
        <v>42</v>
      </c>
      <c r="F1325" s="546">
        <v>3.3</v>
      </c>
      <c r="G1325" s="547">
        <v>9.4499999999999993</v>
      </c>
      <c r="H1325" s="548"/>
      <c r="I1325" s="547">
        <f>F1325*G1325</f>
        <v>31.184999999999995</v>
      </c>
      <c r="J1325" s="549"/>
      <c r="K1325" s="548"/>
      <c r="L1325" s="547"/>
      <c r="M1325" s="549"/>
      <c r="N1325" s="550"/>
      <c r="O1325" s="551"/>
    </row>
    <row r="1326" spans="1:15" s="552" customFormat="1" ht="18.75" customHeight="1" x14ac:dyDescent="0.25">
      <c r="A1326" s="543"/>
      <c r="B1326" s="544"/>
      <c r="C1326" s="513">
        <v>2696</v>
      </c>
      <c r="D1326" s="545" t="s">
        <v>765</v>
      </c>
      <c r="E1326" s="514" t="s">
        <v>42</v>
      </c>
      <c r="F1326" s="546">
        <v>3.3</v>
      </c>
      <c r="G1326" s="547">
        <v>12.57</v>
      </c>
      <c r="H1326" s="548"/>
      <c r="I1326" s="547">
        <f>F1326*G1326</f>
        <v>41.481000000000002</v>
      </c>
      <c r="J1326" s="549"/>
      <c r="K1326" s="548"/>
      <c r="L1326" s="547"/>
      <c r="M1326" s="549"/>
      <c r="N1326" s="550"/>
      <c r="O1326" s="551"/>
    </row>
    <row r="1327" spans="1:15" s="552" customFormat="1" ht="18.75" customHeight="1" x14ac:dyDescent="0.25">
      <c r="A1327" s="543"/>
      <c r="B1327" s="544"/>
      <c r="C1327" s="513"/>
      <c r="D1327" s="545" t="s">
        <v>489</v>
      </c>
      <c r="E1327" s="514" t="s">
        <v>41</v>
      </c>
      <c r="F1327" s="546">
        <v>1</v>
      </c>
      <c r="G1327" s="547">
        <v>19.53</v>
      </c>
      <c r="H1327" s="548">
        <f>F1327*G1327</f>
        <v>19.53</v>
      </c>
      <c r="I1327" s="547"/>
      <c r="J1327" s="549"/>
      <c r="K1327" s="548"/>
      <c r="L1327" s="547"/>
      <c r="M1327" s="549"/>
      <c r="N1327" s="550"/>
      <c r="O1327" s="551"/>
    </row>
    <row r="1328" spans="1:15" s="552" customFormat="1" ht="18.75" customHeight="1" x14ac:dyDescent="0.25">
      <c r="A1328" s="543"/>
      <c r="B1328" s="544"/>
      <c r="C1328" s="513" t="s">
        <v>28</v>
      </c>
      <c r="D1328" s="545" t="s">
        <v>490</v>
      </c>
      <c r="E1328" s="514" t="s">
        <v>41</v>
      </c>
      <c r="F1328" s="546">
        <v>1</v>
      </c>
      <c r="G1328" s="547">
        <v>66.900000000000006</v>
      </c>
      <c r="H1328" s="548">
        <f t="shared" ref="H1328:H1335" si="171">F1328*G1328</f>
        <v>66.900000000000006</v>
      </c>
      <c r="I1328" s="547"/>
      <c r="J1328" s="549"/>
      <c r="K1328" s="548"/>
      <c r="L1328" s="547"/>
      <c r="M1328" s="549"/>
      <c r="N1328" s="550"/>
      <c r="O1328" s="551"/>
    </row>
    <row r="1329" spans="1:15" s="552" customFormat="1" ht="18.75" customHeight="1" x14ac:dyDescent="0.25">
      <c r="A1329" s="543"/>
      <c r="B1329" s="544"/>
      <c r="C1329" s="513"/>
      <c r="D1329" s="545" t="s">
        <v>49</v>
      </c>
      <c r="E1329" s="514" t="s">
        <v>41</v>
      </c>
      <c r="F1329" s="546">
        <v>1</v>
      </c>
      <c r="G1329" s="547">
        <v>67.290000000000006</v>
      </c>
      <c r="H1329" s="548">
        <f t="shared" si="171"/>
        <v>67.290000000000006</v>
      </c>
      <c r="I1329" s="547"/>
      <c r="J1329" s="549"/>
      <c r="K1329" s="548"/>
      <c r="L1329" s="547"/>
      <c r="M1329" s="549"/>
      <c r="N1329" s="550"/>
      <c r="O1329" s="551"/>
    </row>
    <row r="1330" spans="1:15" s="552" customFormat="1" ht="18.75" customHeight="1" x14ac:dyDescent="0.25">
      <c r="A1330" s="543"/>
      <c r="B1330" s="544"/>
      <c r="C1330" s="513" t="s">
        <v>28</v>
      </c>
      <c r="D1330" s="545" t="s">
        <v>491</v>
      </c>
      <c r="E1330" s="514" t="s">
        <v>41</v>
      </c>
      <c r="F1330" s="546">
        <v>1</v>
      </c>
      <c r="G1330" s="547">
        <v>87.9</v>
      </c>
      <c r="H1330" s="548">
        <f t="shared" si="171"/>
        <v>87.9</v>
      </c>
      <c r="I1330" s="547"/>
      <c r="J1330" s="549"/>
      <c r="K1330" s="548"/>
      <c r="L1330" s="547"/>
      <c r="M1330" s="549"/>
      <c r="N1330" s="550"/>
      <c r="O1330" s="551"/>
    </row>
    <row r="1331" spans="1:15" s="552" customFormat="1" ht="18.75" customHeight="1" x14ac:dyDescent="0.25">
      <c r="A1331" s="543"/>
      <c r="B1331" s="544"/>
      <c r="C1331" s="513"/>
      <c r="D1331" s="545" t="s">
        <v>50</v>
      </c>
      <c r="E1331" s="514" t="s">
        <v>41</v>
      </c>
      <c r="F1331" s="546">
        <v>1</v>
      </c>
      <c r="G1331" s="547">
        <v>15.69</v>
      </c>
      <c r="H1331" s="548">
        <f t="shared" si="171"/>
        <v>15.69</v>
      </c>
      <c r="I1331" s="547"/>
      <c r="J1331" s="549"/>
      <c r="K1331" s="548"/>
      <c r="L1331" s="547"/>
      <c r="M1331" s="549"/>
      <c r="N1331" s="550"/>
      <c r="O1331" s="551"/>
    </row>
    <row r="1332" spans="1:15" s="552" customFormat="1" ht="18.75" customHeight="1" x14ac:dyDescent="0.25">
      <c r="A1332" s="543"/>
      <c r="B1332" s="544"/>
      <c r="C1332" s="513"/>
      <c r="D1332" s="545" t="s">
        <v>45</v>
      </c>
      <c r="E1332" s="514" t="s">
        <v>41</v>
      </c>
      <c r="F1332" s="546">
        <v>2</v>
      </c>
      <c r="G1332" s="547">
        <v>2.2000000000000002</v>
      </c>
      <c r="H1332" s="548">
        <f t="shared" si="171"/>
        <v>4.4000000000000004</v>
      </c>
      <c r="I1332" s="547"/>
      <c r="J1332" s="549"/>
      <c r="K1332" s="548"/>
      <c r="L1332" s="547"/>
      <c r="M1332" s="549"/>
      <c r="N1332" s="550"/>
      <c r="O1332" s="551"/>
    </row>
    <row r="1333" spans="1:15" s="552" customFormat="1" ht="18.75" customHeight="1" x14ac:dyDescent="0.25">
      <c r="A1333" s="543"/>
      <c r="B1333" s="544"/>
      <c r="C1333" s="513"/>
      <c r="D1333" s="545" t="s">
        <v>46</v>
      </c>
      <c r="E1333" s="514" t="s">
        <v>41</v>
      </c>
      <c r="F1333" s="546">
        <v>1</v>
      </c>
      <c r="G1333" s="547">
        <v>2.4</v>
      </c>
      <c r="H1333" s="548">
        <f t="shared" si="171"/>
        <v>2.4</v>
      </c>
      <c r="I1333" s="547"/>
      <c r="J1333" s="549"/>
      <c r="K1333" s="548"/>
      <c r="L1333" s="547"/>
      <c r="M1333" s="549"/>
      <c r="N1333" s="550"/>
      <c r="O1333" s="551"/>
    </row>
    <row r="1334" spans="1:15" s="552" customFormat="1" ht="18.75" customHeight="1" x14ac:dyDescent="0.25">
      <c r="A1334" s="543"/>
      <c r="B1334" s="544"/>
      <c r="C1334" s="513"/>
      <c r="D1334" s="545" t="s">
        <v>47</v>
      </c>
      <c r="E1334" s="514" t="s">
        <v>41</v>
      </c>
      <c r="F1334" s="546">
        <v>2</v>
      </c>
      <c r="G1334" s="547">
        <v>0.17</v>
      </c>
      <c r="H1334" s="548">
        <f t="shared" si="171"/>
        <v>0.34</v>
      </c>
      <c r="I1334" s="547"/>
      <c r="J1334" s="549"/>
      <c r="K1334" s="548"/>
      <c r="L1334" s="547"/>
      <c r="M1334" s="549"/>
      <c r="N1334" s="550"/>
      <c r="O1334" s="551"/>
    </row>
    <row r="1335" spans="1:15" s="552" customFormat="1" ht="18.75" customHeight="1" x14ac:dyDescent="0.25">
      <c r="A1335" s="543"/>
      <c r="B1335" s="544"/>
      <c r="C1335" s="513"/>
      <c r="D1335" s="545" t="s">
        <v>35</v>
      </c>
      <c r="E1335" s="514" t="s">
        <v>41</v>
      </c>
      <c r="F1335" s="546">
        <v>1.1200000000000001</v>
      </c>
      <c r="G1335" s="547">
        <v>0.13</v>
      </c>
      <c r="H1335" s="548">
        <f t="shared" si="171"/>
        <v>0.14560000000000001</v>
      </c>
      <c r="I1335" s="547"/>
      <c r="J1335" s="549"/>
      <c r="K1335" s="548"/>
      <c r="L1335" s="547"/>
      <c r="M1335" s="549"/>
      <c r="N1335" s="550"/>
      <c r="O1335" s="551"/>
    </row>
    <row r="1336" spans="1:15" s="23" customFormat="1" ht="14.25" x14ac:dyDescent="0.2">
      <c r="A1336" s="136"/>
      <c r="B1336" s="128"/>
      <c r="C1336" s="32"/>
      <c r="D1336" s="123"/>
      <c r="E1336" s="32"/>
      <c r="F1336" s="481"/>
      <c r="G1336" s="482"/>
      <c r="H1336" s="483"/>
      <c r="I1336" s="484"/>
      <c r="J1336" s="485"/>
      <c r="K1336" s="482"/>
      <c r="L1336" s="482"/>
      <c r="M1336" s="486"/>
      <c r="N1336" s="91"/>
      <c r="O1336" s="91"/>
    </row>
    <row r="1337" spans="1:15" s="23" customFormat="1" ht="45" x14ac:dyDescent="0.2">
      <c r="A1337" s="223" t="s">
        <v>78</v>
      </c>
      <c r="B1337" s="224" t="s">
        <v>1120</v>
      </c>
      <c r="C1337" s="225" t="s">
        <v>570</v>
      </c>
      <c r="D1337" s="226" t="s">
        <v>1129</v>
      </c>
      <c r="E1337" s="225" t="s">
        <v>41</v>
      </c>
      <c r="F1337" s="515">
        <v>1</v>
      </c>
      <c r="G1337" s="228"/>
      <c r="H1337" s="229">
        <f>ROUND(SUM(H1338:H1345),2)</f>
        <v>294.24</v>
      </c>
      <c r="I1337" s="230">
        <f>ROUND(SUM(I1338:I1345),2)</f>
        <v>68.77</v>
      </c>
      <c r="J1337" s="231">
        <f>(H1337+I1337)</f>
        <v>363.01</v>
      </c>
      <c r="K1337" s="229">
        <f>F1337*H1337</f>
        <v>294.24</v>
      </c>
      <c r="L1337" s="230">
        <f>F1337*I1337</f>
        <v>68.77</v>
      </c>
      <c r="M1337" s="231">
        <f>K1337+L1337</f>
        <v>363.01</v>
      </c>
      <c r="N1337" s="227">
        <f>M1337*$N$7</f>
        <v>98.303107999999995</v>
      </c>
      <c r="O1337" s="227">
        <f>M1337+N1337</f>
        <v>461.313108</v>
      </c>
    </row>
    <row r="1338" spans="1:15" s="552" customFormat="1" ht="18.75" customHeight="1" x14ac:dyDescent="0.25">
      <c r="A1338" s="543"/>
      <c r="B1338" s="544" t="s">
        <v>715</v>
      </c>
      <c r="C1338" s="513">
        <v>6111</v>
      </c>
      <c r="D1338" s="545" t="s">
        <v>1127</v>
      </c>
      <c r="E1338" s="514" t="s">
        <v>42</v>
      </c>
      <c r="F1338" s="546">
        <v>3.2</v>
      </c>
      <c r="G1338" s="547">
        <v>8.92</v>
      </c>
      <c r="H1338" s="548"/>
      <c r="I1338" s="547">
        <f>F1338*G1338</f>
        <v>28.544</v>
      </c>
      <c r="J1338" s="549"/>
      <c r="K1338" s="548"/>
      <c r="L1338" s="547"/>
      <c r="M1338" s="549"/>
      <c r="N1338" s="550"/>
      <c r="O1338" s="551"/>
    </row>
    <row r="1339" spans="1:15" s="552" customFormat="1" ht="18.75" customHeight="1" x14ac:dyDescent="0.25">
      <c r="A1339" s="543"/>
      <c r="B1339" s="544" t="s">
        <v>715</v>
      </c>
      <c r="C1339" s="513">
        <v>2696</v>
      </c>
      <c r="D1339" s="545" t="s">
        <v>1128</v>
      </c>
      <c r="E1339" s="514" t="s">
        <v>91</v>
      </c>
      <c r="F1339" s="546">
        <v>3.2</v>
      </c>
      <c r="G1339" s="547">
        <v>12.57</v>
      </c>
      <c r="H1339" s="548"/>
      <c r="I1339" s="547">
        <f>F1339*G1339</f>
        <v>40.224000000000004</v>
      </c>
      <c r="J1339" s="549"/>
      <c r="K1339" s="548"/>
      <c r="L1339" s="547"/>
      <c r="M1339" s="549"/>
      <c r="N1339" s="550"/>
      <c r="O1339" s="551"/>
    </row>
    <row r="1340" spans="1:15" s="552" customFormat="1" ht="18.75" customHeight="1" x14ac:dyDescent="0.25">
      <c r="A1340" s="543"/>
      <c r="B1340" s="544" t="s">
        <v>1121</v>
      </c>
      <c r="C1340" s="513">
        <v>3146</v>
      </c>
      <c r="D1340" s="545" t="s">
        <v>1122</v>
      </c>
      <c r="E1340" s="514" t="s">
        <v>684</v>
      </c>
      <c r="F1340" s="546">
        <v>7.5999999999999998E-2</v>
      </c>
      <c r="G1340" s="547">
        <v>2.0699999999999998</v>
      </c>
      <c r="H1340" s="548">
        <f>F1340*G1340</f>
        <v>0.15731999999999999</v>
      </c>
      <c r="I1340" s="547"/>
      <c r="J1340" s="549"/>
      <c r="K1340" s="548"/>
      <c r="L1340" s="547"/>
      <c r="M1340" s="549"/>
      <c r="N1340" s="550"/>
      <c r="O1340" s="551"/>
    </row>
    <row r="1341" spans="1:15" s="552" customFormat="1" ht="18.75" customHeight="1" x14ac:dyDescent="0.25">
      <c r="A1341" s="543"/>
      <c r="B1341" s="544" t="s">
        <v>715</v>
      </c>
      <c r="C1341" s="513">
        <v>4351</v>
      </c>
      <c r="D1341" s="545" t="s">
        <v>1123</v>
      </c>
      <c r="E1341" s="514" t="s">
        <v>684</v>
      </c>
      <c r="F1341" s="546">
        <v>2</v>
      </c>
      <c r="G1341" s="547">
        <v>2.12</v>
      </c>
      <c r="H1341" s="548">
        <f t="shared" ref="H1341:H1344" si="172">F1341*G1341</f>
        <v>4.24</v>
      </c>
      <c r="I1341" s="547"/>
      <c r="J1341" s="549"/>
      <c r="K1341" s="548"/>
      <c r="L1341" s="547"/>
      <c r="M1341" s="549"/>
      <c r="N1341" s="550"/>
      <c r="O1341" s="551"/>
    </row>
    <row r="1342" spans="1:15" s="552" customFormat="1" ht="18.75" customHeight="1" x14ac:dyDescent="0.25">
      <c r="A1342" s="543"/>
      <c r="B1342" s="544" t="s">
        <v>1121</v>
      </c>
      <c r="C1342" s="513">
        <v>6021</v>
      </c>
      <c r="D1342" s="545" t="s">
        <v>1124</v>
      </c>
      <c r="E1342" s="514" t="s">
        <v>684</v>
      </c>
      <c r="F1342" s="546">
        <v>1</v>
      </c>
      <c r="G1342" s="547">
        <v>41.93</v>
      </c>
      <c r="H1342" s="548">
        <f t="shared" si="172"/>
        <v>41.93</v>
      </c>
      <c r="I1342" s="547"/>
      <c r="J1342" s="549"/>
      <c r="K1342" s="548"/>
      <c r="L1342" s="547"/>
      <c r="M1342" s="549"/>
      <c r="N1342" s="550"/>
      <c r="O1342" s="551"/>
    </row>
    <row r="1343" spans="1:15" s="552" customFormat="1" ht="18.75" customHeight="1" x14ac:dyDescent="0.25">
      <c r="A1343" s="543"/>
      <c r="B1343" s="544" t="s">
        <v>1121</v>
      </c>
      <c r="C1343" s="513">
        <v>10432</v>
      </c>
      <c r="D1343" s="545" t="s">
        <v>1125</v>
      </c>
      <c r="E1343" s="514" t="s">
        <v>684</v>
      </c>
      <c r="F1343" s="546">
        <v>1</v>
      </c>
      <c r="G1343" s="547">
        <v>229.61</v>
      </c>
      <c r="H1343" s="548">
        <f t="shared" si="172"/>
        <v>229.61</v>
      </c>
      <c r="I1343" s="547"/>
      <c r="J1343" s="549"/>
      <c r="K1343" s="548"/>
      <c r="L1343" s="547"/>
      <c r="M1343" s="549"/>
      <c r="N1343" s="550"/>
      <c r="O1343" s="551"/>
    </row>
    <row r="1344" spans="1:15" s="552" customFormat="1" ht="18.75" customHeight="1" x14ac:dyDescent="0.25">
      <c r="A1344" s="543"/>
      <c r="B1344" s="544" t="s">
        <v>1121</v>
      </c>
      <c r="C1344" s="513">
        <v>11683</v>
      </c>
      <c r="D1344" s="545" t="s">
        <v>1126</v>
      </c>
      <c r="E1344" s="514" t="s">
        <v>684</v>
      </c>
      <c r="F1344" s="546">
        <v>1</v>
      </c>
      <c r="G1344" s="547">
        <v>18.3</v>
      </c>
      <c r="H1344" s="548">
        <f t="shared" si="172"/>
        <v>18.3</v>
      </c>
      <c r="I1344" s="547"/>
      <c r="J1344" s="549"/>
      <c r="K1344" s="548"/>
      <c r="L1344" s="547"/>
      <c r="M1344" s="549"/>
      <c r="N1344" s="550"/>
      <c r="O1344" s="551"/>
    </row>
    <row r="1345" spans="1:15" s="552" customFormat="1" ht="18.75" customHeight="1" x14ac:dyDescent="0.25">
      <c r="A1345" s="543"/>
      <c r="B1345" s="544"/>
      <c r="C1345" s="513"/>
      <c r="D1345" s="545"/>
      <c r="E1345" s="514"/>
      <c r="F1345" s="546"/>
      <c r="G1345" s="547"/>
      <c r="H1345" s="548"/>
      <c r="I1345" s="547"/>
      <c r="J1345" s="549"/>
      <c r="K1345" s="548"/>
      <c r="L1345" s="547"/>
      <c r="M1345" s="549"/>
      <c r="N1345" s="550"/>
      <c r="O1345" s="551"/>
    </row>
    <row r="1346" spans="1:15" s="23" customFormat="1" ht="14.25" x14ac:dyDescent="0.2">
      <c r="A1346" s="135"/>
      <c r="B1346" s="120"/>
      <c r="C1346" s="122"/>
      <c r="D1346" s="124" t="s">
        <v>54</v>
      </c>
      <c r="E1346" s="122"/>
      <c r="F1346" s="90"/>
      <c r="G1346" s="116"/>
      <c r="H1346" s="102"/>
      <c r="I1346" s="35"/>
      <c r="J1346" s="103"/>
      <c r="K1346" s="141"/>
      <c r="L1346" s="35"/>
      <c r="M1346" s="103"/>
      <c r="N1346" s="90"/>
      <c r="O1346" s="90"/>
    </row>
    <row r="1347" spans="1:15" s="23" customFormat="1" ht="14.25" x14ac:dyDescent="0.2">
      <c r="A1347" s="13"/>
      <c r="B1347" s="14"/>
      <c r="C1347" s="175"/>
      <c r="D1347" s="16"/>
      <c r="E1347" s="21"/>
      <c r="F1347" s="18"/>
      <c r="G1347" s="21"/>
      <c r="H1347" s="22"/>
      <c r="I1347" s="143"/>
      <c r="J1347" s="112"/>
      <c r="K1347" s="21"/>
      <c r="L1347" s="22"/>
      <c r="M1347" s="112"/>
      <c r="N1347" s="20"/>
      <c r="O1347" s="20"/>
    </row>
    <row r="1348" spans="1:15" s="23" customFormat="1" ht="33.75" x14ac:dyDescent="0.2">
      <c r="A1348" s="223"/>
      <c r="B1348" s="224" t="s">
        <v>55</v>
      </c>
      <c r="C1348" s="225" t="s">
        <v>571</v>
      </c>
      <c r="D1348" s="226" t="s">
        <v>1111</v>
      </c>
      <c r="E1348" s="225" t="s">
        <v>41</v>
      </c>
      <c r="F1348" s="515">
        <f>'MEMÓRIA DE CÁLCULO'!W238</f>
        <v>2</v>
      </c>
      <c r="G1348" s="228"/>
      <c r="H1348" s="229">
        <f>ROUND(SUM(H1349:H1350),2)</f>
        <v>74.319999999999993</v>
      </c>
      <c r="I1348" s="230">
        <f>ROUND(SUM(I1349:I1350),2)</f>
        <v>6.29</v>
      </c>
      <c r="J1348" s="231">
        <f>(H1348+I1348)</f>
        <v>80.61</v>
      </c>
      <c r="K1348" s="229">
        <f>F1348*H1348</f>
        <v>148.63999999999999</v>
      </c>
      <c r="L1348" s="230">
        <f>F1348*I1348</f>
        <v>12.58</v>
      </c>
      <c r="M1348" s="231">
        <f>K1348+L1348</f>
        <v>161.22</v>
      </c>
      <c r="N1348" s="227">
        <f>M1348*$N$7</f>
        <v>43.658375999999997</v>
      </c>
      <c r="O1348" s="227">
        <f>M1348+N1348</f>
        <v>204.878376</v>
      </c>
    </row>
    <row r="1349" spans="1:15" s="552" customFormat="1" ht="15" customHeight="1" x14ac:dyDescent="0.25">
      <c r="A1349" s="543"/>
      <c r="B1349" s="544" t="s">
        <v>715</v>
      </c>
      <c r="C1349" s="513">
        <v>4750</v>
      </c>
      <c r="D1349" s="545" t="s">
        <v>714</v>
      </c>
      <c r="E1349" s="514" t="s">
        <v>42</v>
      </c>
      <c r="F1349" s="546">
        <v>0.5</v>
      </c>
      <c r="G1349" s="547">
        <v>12.57</v>
      </c>
      <c r="H1349" s="548"/>
      <c r="I1349" s="547">
        <f t="shared" ref="I1349" si="173">F1349*G1349</f>
        <v>6.2850000000000001</v>
      </c>
      <c r="J1349" s="549"/>
      <c r="K1349" s="548"/>
      <c r="L1349" s="547"/>
      <c r="M1349" s="549"/>
      <c r="N1349" s="550"/>
      <c r="O1349" s="551"/>
    </row>
    <row r="1350" spans="1:15" s="552" customFormat="1" ht="18.75" customHeight="1" x14ac:dyDescent="0.25">
      <c r="A1350" s="543"/>
      <c r="B1350" s="544"/>
      <c r="C1350" s="513" t="s">
        <v>28</v>
      </c>
      <c r="D1350" s="545" t="str">
        <f>D1348</f>
        <v>Papeleira em metal cromado de parafusar - referência: linha Deca Flex 2020 ou similar, que apresente características visuais e materiais de fabricação idênticos - instalado junto a cada bacia sanitária</v>
      </c>
      <c r="E1350" s="514" t="s">
        <v>56</v>
      </c>
      <c r="F1350" s="546">
        <v>1</v>
      </c>
      <c r="G1350" s="547">
        <v>74.319999999999993</v>
      </c>
      <c r="H1350" s="548">
        <f>F1350*G1350</f>
        <v>74.319999999999993</v>
      </c>
      <c r="I1350" s="547"/>
      <c r="J1350" s="549"/>
      <c r="K1350" s="548"/>
      <c r="L1350" s="547"/>
      <c r="M1350" s="549"/>
      <c r="N1350" s="550"/>
      <c r="O1350" s="551"/>
    </row>
    <row r="1351" spans="1:15" s="23" customFormat="1" ht="14.25" x14ac:dyDescent="0.2">
      <c r="A1351" s="136"/>
      <c r="B1351" s="128"/>
      <c r="C1351" s="32"/>
      <c r="D1351" s="123"/>
      <c r="E1351" s="32"/>
      <c r="F1351" s="119"/>
      <c r="G1351" s="33"/>
      <c r="H1351" s="106"/>
      <c r="I1351" s="28"/>
      <c r="J1351" s="107"/>
      <c r="K1351" s="33"/>
      <c r="L1351" s="33"/>
      <c r="M1351" s="109"/>
      <c r="N1351" s="91"/>
      <c r="O1351" s="91"/>
    </row>
    <row r="1352" spans="1:15" s="23" customFormat="1" ht="22.5" x14ac:dyDescent="0.2">
      <c r="A1352" s="223"/>
      <c r="B1352" s="224" t="s">
        <v>55</v>
      </c>
      <c r="C1352" s="225" t="s">
        <v>572</v>
      </c>
      <c r="D1352" s="226" t="s">
        <v>207</v>
      </c>
      <c r="E1352" s="225" t="s">
        <v>41</v>
      </c>
      <c r="F1352" s="515">
        <f>'MEMÓRIA DE CÁLCULO'!X238</f>
        <v>2</v>
      </c>
      <c r="G1352" s="228"/>
      <c r="H1352" s="229">
        <f>ROUND(SUM(H1353:H1354),2)</f>
        <v>13.4</v>
      </c>
      <c r="I1352" s="230">
        <f>ROUND(SUM(I1353:I1354),2)</f>
        <v>12.57</v>
      </c>
      <c r="J1352" s="231">
        <f>(H1352+I1352)</f>
        <v>25.97</v>
      </c>
      <c r="K1352" s="229">
        <f>F1352*H1352</f>
        <v>26.8</v>
      </c>
      <c r="L1352" s="230">
        <f>F1352*I1352</f>
        <v>25.14</v>
      </c>
      <c r="M1352" s="231">
        <f>K1352+L1352</f>
        <v>51.94</v>
      </c>
      <c r="N1352" s="227">
        <f>M1352*$N$7</f>
        <v>14.065351999999999</v>
      </c>
      <c r="O1352" s="227">
        <f>M1352+N1352</f>
        <v>66.005352000000002</v>
      </c>
    </row>
    <row r="1353" spans="1:15" s="552" customFormat="1" ht="15" customHeight="1" x14ac:dyDescent="0.25">
      <c r="A1353" s="543"/>
      <c r="B1353" s="544" t="s">
        <v>715</v>
      </c>
      <c r="C1353" s="513">
        <v>4750</v>
      </c>
      <c r="D1353" s="545" t="s">
        <v>714</v>
      </c>
      <c r="E1353" s="514" t="s">
        <v>42</v>
      </c>
      <c r="F1353" s="546">
        <v>1</v>
      </c>
      <c r="G1353" s="547">
        <v>12.57</v>
      </c>
      <c r="H1353" s="548"/>
      <c r="I1353" s="547">
        <f t="shared" ref="I1353" si="174">F1353*G1353</f>
        <v>12.57</v>
      </c>
      <c r="J1353" s="549"/>
      <c r="K1353" s="548"/>
      <c r="L1353" s="547"/>
      <c r="M1353" s="549"/>
      <c r="N1353" s="550"/>
      <c r="O1353" s="551"/>
    </row>
    <row r="1354" spans="1:15" s="552" customFormat="1" ht="18.75" customHeight="1" x14ac:dyDescent="0.25">
      <c r="A1354" s="543"/>
      <c r="B1354" s="544"/>
      <c r="C1354" s="513"/>
      <c r="D1354" s="545" t="str">
        <f>D1352</f>
        <v>Saboneteira de plástico para sabonete líquido - referência:  Columbus ou similar</v>
      </c>
      <c r="E1354" s="514" t="s">
        <v>42</v>
      </c>
      <c r="F1354" s="546">
        <v>1</v>
      </c>
      <c r="G1354" s="547">
        <v>13.4</v>
      </c>
      <c r="H1354" s="548">
        <f>F1354*G1354</f>
        <v>13.4</v>
      </c>
      <c r="I1354" s="547"/>
      <c r="J1354" s="549"/>
      <c r="K1354" s="548"/>
      <c r="L1354" s="547"/>
      <c r="M1354" s="549"/>
      <c r="N1354" s="550"/>
      <c r="O1354" s="551"/>
    </row>
    <row r="1355" spans="1:15" s="23" customFormat="1" ht="14.25" x14ac:dyDescent="0.2">
      <c r="A1355" s="136"/>
      <c r="B1355" s="128"/>
      <c r="C1355" s="32"/>
      <c r="D1355" s="123"/>
      <c r="E1355" s="32"/>
      <c r="F1355" s="119"/>
      <c r="G1355" s="33"/>
      <c r="H1355" s="106"/>
      <c r="I1355" s="28"/>
      <c r="J1355" s="107"/>
      <c r="K1355" s="33"/>
      <c r="L1355" s="33"/>
      <c r="M1355" s="109"/>
      <c r="N1355" s="91"/>
      <c r="O1355" s="91"/>
    </row>
    <row r="1356" spans="1:15" s="23" customFormat="1" ht="22.5" x14ac:dyDescent="0.2">
      <c r="A1356" s="223"/>
      <c r="B1356" s="224" t="s">
        <v>55</v>
      </c>
      <c r="C1356" s="225" t="s">
        <v>573</v>
      </c>
      <c r="D1356" s="226" t="s">
        <v>208</v>
      </c>
      <c r="E1356" s="225" t="s">
        <v>41</v>
      </c>
      <c r="F1356" s="515">
        <f>'MEMÓRIA DE CÁLCULO'!Y238</f>
        <v>2</v>
      </c>
      <c r="G1356" s="228"/>
      <c r="H1356" s="229">
        <f>ROUND(SUM(H1357:H1358),2)</f>
        <v>22.61</v>
      </c>
      <c r="I1356" s="230">
        <f>ROUND(SUM(I1357:I1358),2)</f>
        <v>12.57</v>
      </c>
      <c r="J1356" s="231">
        <f>(H1356+I1356)</f>
        <v>35.18</v>
      </c>
      <c r="K1356" s="229">
        <f>F1356*H1356</f>
        <v>45.22</v>
      </c>
      <c r="L1356" s="230">
        <f>F1356*I1356</f>
        <v>25.14</v>
      </c>
      <c r="M1356" s="231">
        <f>K1356+L1356</f>
        <v>70.36</v>
      </c>
      <c r="N1356" s="227">
        <f>M1356*$N$7</f>
        <v>19.053487999999998</v>
      </c>
      <c r="O1356" s="227">
        <f>M1356+N1356</f>
        <v>89.413488000000001</v>
      </c>
    </row>
    <row r="1357" spans="1:15" s="552" customFormat="1" ht="15" customHeight="1" x14ac:dyDescent="0.25">
      <c r="A1357" s="543"/>
      <c r="B1357" s="544" t="s">
        <v>715</v>
      </c>
      <c r="C1357" s="513">
        <v>4750</v>
      </c>
      <c r="D1357" s="545" t="s">
        <v>714</v>
      </c>
      <c r="E1357" s="514" t="s">
        <v>42</v>
      </c>
      <c r="F1357" s="546">
        <v>1</v>
      </c>
      <c r="G1357" s="547">
        <v>12.57</v>
      </c>
      <c r="H1357" s="548"/>
      <c r="I1357" s="547">
        <f t="shared" ref="I1357" si="175">F1357*G1357</f>
        <v>12.57</v>
      </c>
      <c r="J1357" s="549"/>
      <c r="K1357" s="548"/>
      <c r="L1357" s="547"/>
      <c r="M1357" s="549"/>
      <c r="N1357" s="550"/>
      <c r="O1357" s="551"/>
    </row>
    <row r="1358" spans="1:15" s="552" customFormat="1" ht="18.75" customHeight="1" x14ac:dyDescent="0.25">
      <c r="A1358" s="543"/>
      <c r="B1358" s="544"/>
      <c r="C1358" s="513"/>
      <c r="D1358" s="545" t="str">
        <f>D1356</f>
        <v>Dispenser para papel toalha, linha standard - Fornecimento e instalação  - Referência Técnica: Columbus ou similar</v>
      </c>
      <c r="E1358" s="514" t="s">
        <v>42</v>
      </c>
      <c r="F1358" s="546">
        <v>1</v>
      </c>
      <c r="G1358" s="547">
        <v>22.61</v>
      </c>
      <c r="H1358" s="548">
        <f>F1358*G1358</f>
        <v>22.61</v>
      </c>
      <c r="I1358" s="547"/>
      <c r="J1358" s="549"/>
      <c r="K1358" s="548"/>
      <c r="L1358" s="547"/>
      <c r="M1358" s="549"/>
      <c r="N1358" s="550"/>
      <c r="O1358" s="551"/>
    </row>
    <row r="1359" spans="1:15" s="23" customFormat="1" ht="14.25" x14ac:dyDescent="0.2">
      <c r="A1359" s="136"/>
      <c r="B1359" s="128"/>
      <c r="C1359" s="32"/>
      <c r="D1359" s="123"/>
      <c r="E1359" s="32"/>
      <c r="F1359" s="119"/>
      <c r="G1359" s="33"/>
      <c r="H1359" s="106"/>
      <c r="I1359" s="28"/>
      <c r="J1359" s="107"/>
      <c r="K1359" s="33"/>
      <c r="L1359" s="33"/>
      <c r="M1359" s="109"/>
      <c r="N1359" s="91"/>
      <c r="O1359" s="91"/>
    </row>
    <row r="1360" spans="1:15" s="23" customFormat="1" ht="22.5" x14ac:dyDescent="0.2">
      <c r="A1360" s="223"/>
      <c r="B1360" s="224" t="s">
        <v>55</v>
      </c>
      <c r="C1360" s="225" t="s">
        <v>574</v>
      </c>
      <c r="D1360" s="226" t="s">
        <v>1130</v>
      </c>
      <c r="E1360" s="225" t="s">
        <v>41</v>
      </c>
      <c r="F1360" s="515">
        <v>6</v>
      </c>
      <c r="G1360" s="228"/>
      <c r="H1360" s="229">
        <f>ROUND(SUM(H1361:H1362),2)</f>
        <v>40.08</v>
      </c>
      <c r="I1360" s="230">
        <f>ROUND(SUM(I1361:I1362),2)</f>
        <v>12.57</v>
      </c>
      <c r="J1360" s="231">
        <f>(H1360+I1360)</f>
        <v>52.65</v>
      </c>
      <c r="K1360" s="229">
        <f>F1360*H1360</f>
        <v>240.48</v>
      </c>
      <c r="L1360" s="230">
        <f>F1360*I1360</f>
        <v>75.42</v>
      </c>
      <c r="M1360" s="231">
        <f>K1360+L1360</f>
        <v>315.89999999999998</v>
      </c>
      <c r="N1360" s="227">
        <f>M1360*$N$7</f>
        <v>85.545719999999989</v>
      </c>
      <c r="O1360" s="227">
        <f>M1360+N1360</f>
        <v>401.44571999999994</v>
      </c>
    </row>
    <row r="1361" spans="1:15" s="552" customFormat="1" ht="15" customHeight="1" x14ac:dyDescent="0.25">
      <c r="A1361" s="543"/>
      <c r="B1361" s="544" t="s">
        <v>715</v>
      </c>
      <c r="C1361" s="513">
        <v>4750</v>
      </c>
      <c r="D1361" s="545" t="s">
        <v>714</v>
      </c>
      <c r="E1361" s="514" t="s">
        <v>42</v>
      </c>
      <c r="F1361" s="546">
        <v>1</v>
      </c>
      <c r="G1361" s="547">
        <v>12.57</v>
      </c>
      <c r="H1361" s="548"/>
      <c r="I1361" s="547">
        <f t="shared" ref="I1361" si="176">F1361*G1361</f>
        <v>12.57</v>
      </c>
      <c r="J1361" s="549"/>
      <c r="K1361" s="548"/>
      <c r="L1361" s="547"/>
      <c r="M1361" s="549"/>
      <c r="N1361" s="550"/>
      <c r="O1361" s="551"/>
    </row>
    <row r="1362" spans="1:15" s="552" customFormat="1" ht="18.75" customHeight="1" x14ac:dyDescent="0.25">
      <c r="A1362" s="543"/>
      <c r="B1362" s="544"/>
      <c r="C1362" s="513" t="s">
        <v>28</v>
      </c>
      <c r="D1362" s="545" t="str">
        <f>D1360</f>
        <v>Toalheiro tipo gancho em metal cromado de parafusar - referêcnia: linha Deca Flex 2060 ou similar - um junto a cada bacia + dois em cada vestiário</v>
      </c>
      <c r="E1362" s="514" t="s">
        <v>57</v>
      </c>
      <c r="F1362" s="546">
        <v>1</v>
      </c>
      <c r="G1362" s="547">
        <v>40.08</v>
      </c>
      <c r="H1362" s="548">
        <f>F1362*G1362</f>
        <v>40.08</v>
      </c>
      <c r="I1362" s="547"/>
      <c r="J1362" s="549"/>
      <c r="K1362" s="548"/>
      <c r="L1362" s="547"/>
      <c r="M1362" s="549"/>
      <c r="N1362" s="550"/>
      <c r="O1362" s="551"/>
    </row>
    <row r="1363" spans="1:15" s="12" customFormat="1" ht="12.75" x14ac:dyDescent="0.25">
      <c r="A1363" s="136"/>
      <c r="B1363" s="128"/>
      <c r="C1363" s="32"/>
      <c r="D1363" s="123"/>
      <c r="E1363" s="32"/>
      <c r="F1363" s="119"/>
      <c r="G1363" s="33"/>
      <c r="H1363" s="106"/>
      <c r="I1363" s="28"/>
      <c r="J1363" s="107"/>
      <c r="K1363" s="33"/>
      <c r="L1363" s="33"/>
      <c r="M1363" s="109"/>
      <c r="N1363" s="91"/>
      <c r="O1363" s="91"/>
    </row>
    <row r="1364" spans="1:15" s="23" customFormat="1" ht="22.5" x14ac:dyDescent="0.2">
      <c r="A1364" s="223"/>
      <c r="B1364" s="224" t="s">
        <v>26</v>
      </c>
      <c r="C1364" s="225" t="s">
        <v>575</v>
      </c>
      <c r="D1364" s="226" t="s">
        <v>399</v>
      </c>
      <c r="E1364" s="225" t="s">
        <v>41</v>
      </c>
      <c r="F1364" s="515">
        <f>'MEMÓRIA DE CÁLCULO'!U238</f>
        <v>4</v>
      </c>
      <c r="G1364" s="228"/>
      <c r="H1364" s="230">
        <f>ROUND(SUM(H1365:H1366),2)</f>
        <v>0</v>
      </c>
      <c r="I1364" s="230">
        <f>ROUND(SUM(I1365:I1366),2)</f>
        <v>21.49</v>
      </c>
      <c r="J1364" s="231">
        <f>(H1364+I1364)</f>
        <v>21.49</v>
      </c>
      <c r="K1364" s="229">
        <f>F1364*H1364</f>
        <v>0</v>
      </c>
      <c r="L1364" s="230">
        <f>F1364*I1364</f>
        <v>85.96</v>
      </c>
      <c r="M1364" s="231">
        <f>K1364+L1364</f>
        <v>85.96</v>
      </c>
      <c r="N1364" s="227">
        <f>M1364*$N$7</f>
        <v>23.277967999999998</v>
      </c>
      <c r="O1364" s="227">
        <f>M1364+N1364</f>
        <v>109.237968</v>
      </c>
    </row>
    <row r="1365" spans="1:15" s="552" customFormat="1" ht="15" customHeight="1" x14ac:dyDescent="0.25">
      <c r="A1365" s="543"/>
      <c r="B1365" s="544" t="s">
        <v>715</v>
      </c>
      <c r="C1365" s="513">
        <v>4750</v>
      </c>
      <c r="D1365" s="545" t="s">
        <v>714</v>
      </c>
      <c r="E1365" s="514" t="s">
        <v>42</v>
      </c>
      <c r="F1365" s="546">
        <v>1</v>
      </c>
      <c r="G1365" s="547">
        <v>12.57</v>
      </c>
      <c r="H1365" s="548"/>
      <c r="I1365" s="547">
        <f t="shared" ref="I1365:I1366" si="177">F1365*G1365</f>
        <v>12.57</v>
      </c>
      <c r="J1365" s="549"/>
      <c r="K1365" s="548"/>
      <c r="L1365" s="547"/>
      <c r="M1365" s="549"/>
      <c r="N1365" s="550"/>
      <c r="O1365" s="551"/>
    </row>
    <row r="1366" spans="1:15" s="552" customFormat="1" ht="15" customHeight="1" x14ac:dyDescent="0.25">
      <c r="A1366" s="543"/>
      <c r="B1366" s="544" t="s">
        <v>658</v>
      </c>
      <c r="C1366" s="513">
        <v>6111</v>
      </c>
      <c r="D1366" s="545" t="s">
        <v>670</v>
      </c>
      <c r="E1366" s="514" t="s">
        <v>42</v>
      </c>
      <c r="F1366" s="546">
        <v>1</v>
      </c>
      <c r="G1366" s="547">
        <v>8.92</v>
      </c>
      <c r="H1366" s="548"/>
      <c r="I1366" s="547">
        <f t="shared" si="177"/>
        <v>8.92</v>
      </c>
      <c r="J1366" s="549"/>
      <c r="K1366" s="548"/>
      <c r="L1366" s="547"/>
      <c r="M1366" s="549"/>
      <c r="N1366" s="550"/>
      <c r="O1366" s="551"/>
    </row>
    <row r="1367" spans="1:15" s="23" customFormat="1" ht="14.25" x14ac:dyDescent="0.2">
      <c r="A1367" s="13"/>
      <c r="B1367" s="14"/>
      <c r="C1367" s="175"/>
      <c r="D1367" s="16"/>
      <c r="E1367" s="15"/>
      <c r="F1367" s="16"/>
      <c r="G1367" s="17"/>
      <c r="H1367" s="22"/>
      <c r="I1367" s="144"/>
      <c r="J1367" s="113"/>
      <c r="K1367" s="142"/>
      <c r="L1367" s="19"/>
      <c r="M1367" s="113"/>
      <c r="N1367" s="20"/>
      <c r="O1367" s="20"/>
    </row>
    <row r="1368" spans="1:15" s="23" customFormat="1" ht="22.5" x14ac:dyDescent="0.2">
      <c r="A1368" s="223" t="s">
        <v>39</v>
      </c>
      <c r="B1368" s="224" t="s">
        <v>59</v>
      </c>
      <c r="C1368" s="225" t="s">
        <v>576</v>
      </c>
      <c r="D1368" s="226" t="s">
        <v>210</v>
      </c>
      <c r="E1368" s="225" t="s">
        <v>41</v>
      </c>
      <c r="F1368" s="515">
        <f>'MEMÓRIA DE CÁLCULO'!R238</f>
        <v>1</v>
      </c>
      <c r="G1368" s="228"/>
      <c r="H1368" s="229">
        <f>ROUND(SUM(H1369:H1372),2)</f>
        <v>183.66</v>
      </c>
      <c r="I1368" s="230">
        <f>ROUND(SUM(I1369:I1372),2)</f>
        <v>30.83</v>
      </c>
      <c r="J1368" s="231">
        <f>(H1368+I1368)</f>
        <v>214.49</v>
      </c>
      <c r="K1368" s="229">
        <f>F1368*H1368</f>
        <v>183.66</v>
      </c>
      <c r="L1368" s="230">
        <f>F1368*I1368</f>
        <v>30.83</v>
      </c>
      <c r="M1368" s="231">
        <f>K1368+L1368</f>
        <v>214.49</v>
      </c>
      <c r="N1368" s="227">
        <f>M1368*$N$7</f>
        <v>58.083891999999999</v>
      </c>
      <c r="O1368" s="227">
        <f>M1368+N1368</f>
        <v>272.573892</v>
      </c>
    </row>
    <row r="1369" spans="1:15" s="552" customFormat="1" ht="18.75" customHeight="1" x14ac:dyDescent="0.25">
      <c r="A1369" s="543"/>
      <c r="B1369" s="544"/>
      <c r="C1369" s="513">
        <v>246</v>
      </c>
      <c r="D1369" s="545" t="s">
        <v>766</v>
      </c>
      <c r="E1369" s="514" t="s">
        <v>42</v>
      </c>
      <c r="F1369" s="546">
        <v>1.4</v>
      </c>
      <c r="G1369" s="547">
        <v>9.4499999999999993</v>
      </c>
      <c r="H1369" s="548"/>
      <c r="I1369" s="547">
        <f>F1369*G1369</f>
        <v>13.229999999999999</v>
      </c>
      <c r="J1369" s="549"/>
      <c r="K1369" s="548"/>
      <c r="L1369" s="547"/>
      <c r="M1369" s="549"/>
      <c r="N1369" s="550"/>
      <c r="O1369" s="551"/>
    </row>
    <row r="1370" spans="1:15" s="552" customFormat="1" ht="18.75" customHeight="1" x14ac:dyDescent="0.25">
      <c r="A1370" s="543"/>
      <c r="B1370" s="544"/>
      <c r="C1370" s="513">
        <v>2696</v>
      </c>
      <c r="D1370" s="545" t="s">
        <v>765</v>
      </c>
      <c r="E1370" s="514" t="s">
        <v>42</v>
      </c>
      <c r="F1370" s="546">
        <v>1.4</v>
      </c>
      <c r="G1370" s="547">
        <v>12.57</v>
      </c>
      <c r="H1370" s="548"/>
      <c r="I1370" s="547">
        <f>F1370*G1370</f>
        <v>17.597999999999999</v>
      </c>
      <c r="J1370" s="549"/>
      <c r="K1370" s="548"/>
      <c r="L1370" s="547"/>
      <c r="M1370" s="549"/>
      <c r="N1370" s="550"/>
      <c r="O1370" s="551"/>
    </row>
    <row r="1371" spans="1:15" s="552" customFormat="1" ht="18.75" customHeight="1" x14ac:dyDescent="0.25">
      <c r="A1371" s="543"/>
      <c r="B1371" s="544"/>
      <c r="C1371" s="513" t="s">
        <v>28</v>
      </c>
      <c r="D1371" s="545" t="s">
        <v>15</v>
      </c>
      <c r="E1371" s="514" t="s">
        <v>41</v>
      </c>
      <c r="F1371" s="546">
        <v>1</v>
      </c>
      <c r="G1371" s="547">
        <v>183.54</v>
      </c>
      <c r="H1371" s="548">
        <f>F1371*G1371</f>
        <v>183.54</v>
      </c>
      <c r="I1371" s="547"/>
      <c r="J1371" s="549"/>
      <c r="K1371" s="548"/>
      <c r="L1371" s="547"/>
      <c r="M1371" s="549"/>
      <c r="N1371" s="550"/>
      <c r="O1371" s="551"/>
    </row>
    <row r="1372" spans="1:15" s="552" customFormat="1" ht="18.75" customHeight="1" x14ac:dyDescent="0.25">
      <c r="A1372" s="543"/>
      <c r="B1372" s="544"/>
      <c r="C1372" s="513"/>
      <c r="D1372" s="545" t="s">
        <v>35</v>
      </c>
      <c r="E1372" s="514" t="s">
        <v>41</v>
      </c>
      <c r="F1372" s="546">
        <v>0.94</v>
      </c>
      <c r="G1372" s="547">
        <v>0.13</v>
      </c>
      <c r="H1372" s="548">
        <f>F1372*G1372</f>
        <v>0.1222</v>
      </c>
      <c r="I1372" s="547"/>
      <c r="J1372" s="549"/>
      <c r="K1372" s="548"/>
      <c r="L1372" s="547"/>
      <c r="M1372" s="549"/>
      <c r="N1372" s="550"/>
      <c r="O1372" s="551"/>
    </row>
    <row r="1373" spans="1:15" s="23" customFormat="1" ht="14.25" x14ac:dyDescent="0.2">
      <c r="A1373" s="136"/>
      <c r="B1373" s="128"/>
      <c r="C1373" s="32"/>
      <c r="D1373" s="123"/>
      <c r="E1373" s="32"/>
      <c r="F1373" s="119"/>
      <c r="G1373" s="33"/>
      <c r="H1373" s="106"/>
      <c r="I1373" s="28"/>
      <c r="J1373" s="107"/>
      <c r="K1373" s="33"/>
      <c r="L1373" s="33"/>
      <c r="M1373" s="109"/>
      <c r="N1373" s="91"/>
      <c r="O1373" s="91"/>
    </row>
    <row r="1374" spans="1:15" s="23" customFormat="1" ht="33.75" x14ac:dyDescent="0.2">
      <c r="A1374" s="223" t="s">
        <v>39</v>
      </c>
      <c r="B1374" s="224" t="s">
        <v>506</v>
      </c>
      <c r="C1374" s="225" t="s">
        <v>577</v>
      </c>
      <c r="D1374" s="226" t="s">
        <v>507</v>
      </c>
      <c r="E1374" s="225" t="s">
        <v>41</v>
      </c>
      <c r="F1374" s="515">
        <v>3</v>
      </c>
      <c r="G1374" s="228"/>
      <c r="H1374" s="229">
        <f>ROUND(SUM(H1375:H1377),2)</f>
        <v>0.12</v>
      </c>
      <c r="I1374" s="230">
        <f>ROUND(SUM(I1375:I1377),2)</f>
        <v>30.83</v>
      </c>
      <c r="J1374" s="231">
        <f>(H1374+I1374)</f>
        <v>30.95</v>
      </c>
      <c r="K1374" s="229">
        <f>F1374*H1374</f>
        <v>0.36</v>
      </c>
      <c r="L1374" s="230">
        <f>F1374*I1374</f>
        <v>92.49</v>
      </c>
      <c r="M1374" s="231">
        <f>K1374+L1374</f>
        <v>92.85</v>
      </c>
      <c r="N1374" s="227">
        <f>M1374*$N$7</f>
        <v>25.143779999999996</v>
      </c>
      <c r="O1374" s="227">
        <f>M1374+N1374</f>
        <v>117.99377999999999</v>
      </c>
    </row>
    <row r="1375" spans="1:15" s="552" customFormat="1" ht="18.75" customHeight="1" x14ac:dyDescent="0.25">
      <c r="A1375" s="543"/>
      <c r="B1375" s="544"/>
      <c r="C1375" s="513">
        <v>246</v>
      </c>
      <c r="D1375" s="545" t="s">
        <v>766</v>
      </c>
      <c r="E1375" s="514" t="s">
        <v>42</v>
      </c>
      <c r="F1375" s="546">
        <v>1.4</v>
      </c>
      <c r="G1375" s="547">
        <v>9.4499999999999993</v>
      </c>
      <c r="H1375" s="548"/>
      <c r="I1375" s="547">
        <f>F1375*G1375</f>
        <v>13.229999999999999</v>
      </c>
      <c r="J1375" s="549"/>
      <c r="K1375" s="548"/>
      <c r="L1375" s="547"/>
      <c r="M1375" s="549"/>
      <c r="N1375" s="550"/>
      <c r="O1375" s="551"/>
    </row>
    <row r="1376" spans="1:15" s="552" customFormat="1" ht="18.75" customHeight="1" x14ac:dyDescent="0.25">
      <c r="A1376" s="543"/>
      <c r="B1376" s="544"/>
      <c r="C1376" s="513">
        <v>2696</v>
      </c>
      <c r="D1376" s="545" t="s">
        <v>765</v>
      </c>
      <c r="E1376" s="514" t="s">
        <v>42</v>
      </c>
      <c r="F1376" s="546">
        <v>1.4</v>
      </c>
      <c r="G1376" s="547">
        <v>12.57</v>
      </c>
      <c r="H1376" s="548"/>
      <c r="I1376" s="547">
        <f>F1376*G1376</f>
        <v>17.597999999999999</v>
      </c>
      <c r="J1376" s="549"/>
      <c r="K1376" s="548"/>
      <c r="L1376" s="547"/>
      <c r="M1376" s="549"/>
      <c r="N1376" s="550"/>
      <c r="O1376" s="551"/>
    </row>
    <row r="1377" spans="1:15" s="23" customFormat="1" ht="22.5" x14ac:dyDescent="0.2">
      <c r="A1377" s="136"/>
      <c r="B1377" s="128"/>
      <c r="C1377" s="32"/>
      <c r="D1377" s="123" t="s">
        <v>35</v>
      </c>
      <c r="E1377" s="32" t="s">
        <v>41</v>
      </c>
      <c r="F1377" s="481">
        <v>0.94</v>
      </c>
      <c r="G1377" s="482">
        <v>0.13</v>
      </c>
      <c r="H1377" s="483">
        <f>F1377*G1377</f>
        <v>0.1222</v>
      </c>
      <c r="I1377" s="484"/>
      <c r="J1377" s="485"/>
      <c r="K1377" s="482"/>
      <c r="L1377" s="482"/>
      <c r="M1377" s="486"/>
      <c r="N1377" s="91"/>
      <c r="O1377" s="91"/>
    </row>
    <row r="1378" spans="1:15" s="23" customFormat="1" ht="14.25" x14ac:dyDescent="0.2">
      <c r="A1378" s="136"/>
      <c r="B1378" s="128"/>
      <c r="C1378" s="32"/>
      <c r="D1378" s="123"/>
      <c r="E1378" s="32"/>
      <c r="F1378" s="481"/>
      <c r="G1378" s="482"/>
      <c r="H1378" s="483"/>
      <c r="I1378" s="484"/>
      <c r="J1378" s="485"/>
      <c r="K1378" s="482"/>
      <c r="L1378" s="482"/>
      <c r="M1378" s="486"/>
      <c r="N1378" s="91"/>
      <c r="O1378" s="91"/>
    </row>
    <row r="1379" spans="1:15" s="23" customFormat="1" ht="33.75" x14ac:dyDescent="0.2">
      <c r="A1379" s="223" t="s">
        <v>39</v>
      </c>
      <c r="B1379" s="224" t="s">
        <v>506</v>
      </c>
      <c r="C1379" s="225" t="s">
        <v>577</v>
      </c>
      <c r="D1379" s="226" t="s">
        <v>1131</v>
      </c>
      <c r="E1379" s="225" t="s">
        <v>41</v>
      </c>
      <c r="F1379" s="515">
        <v>1</v>
      </c>
      <c r="G1379" s="228"/>
      <c r="H1379" s="229">
        <f>ROUND(SUM(H1380:H1383),2)</f>
        <v>205.12</v>
      </c>
      <c r="I1379" s="230">
        <f>ROUND(SUM(I1380:I1383),2)</f>
        <v>30.83</v>
      </c>
      <c r="J1379" s="231">
        <f>(H1379+I1379)</f>
        <v>235.95</v>
      </c>
      <c r="K1379" s="229">
        <f>F1379*H1379</f>
        <v>205.12</v>
      </c>
      <c r="L1379" s="230">
        <f>F1379*I1379</f>
        <v>30.83</v>
      </c>
      <c r="M1379" s="231">
        <f>K1379+L1379</f>
        <v>235.95</v>
      </c>
      <c r="N1379" s="227">
        <f>M1379*$N$7</f>
        <v>63.895259999999993</v>
      </c>
      <c r="O1379" s="227">
        <f>M1379+N1379</f>
        <v>299.84526</v>
      </c>
    </row>
    <row r="1380" spans="1:15" s="552" customFormat="1" ht="18.75" customHeight="1" x14ac:dyDescent="0.25">
      <c r="A1380" s="543"/>
      <c r="B1380" s="544"/>
      <c r="C1380" s="513">
        <v>246</v>
      </c>
      <c r="D1380" s="545" t="s">
        <v>766</v>
      </c>
      <c r="E1380" s="514" t="s">
        <v>42</v>
      </c>
      <c r="F1380" s="546">
        <v>1.4</v>
      </c>
      <c r="G1380" s="547">
        <v>9.4499999999999993</v>
      </c>
      <c r="H1380" s="548"/>
      <c r="I1380" s="547">
        <f>F1380*G1380</f>
        <v>13.229999999999999</v>
      </c>
      <c r="J1380" s="549"/>
      <c r="K1380" s="548"/>
      <c r="L1380" s="547"/>
      <c r="M1380" s="549"/>
      <c r="N1380" s="550"/>
      <c r="O1380" s="551"/>
    </row>
    <row r="1381" spans="1:15" s="552" customFormat="1" ht="18.75" customHeight="1" x14ac:dyDescent="0.25">
      <c r="A1381" s="543"/>
      <c r="B1381" s="544"/>
      <c r="C1381" s="513"/>
      <c r="D1381" s="545" t="s">
        <v>1132</v>
      </c>
      <c r="E1381" s="514" t="s">
        <v>41</v>
      </c>
      <c r="F1381" s="546">
        <v>1</v>
      </c>
      <c r="G1381" s="547">
        <v>205</v>
      </c>
      <c r="H1381" s="483">
        <f>F1381*G1381</f>
        <v>205</v>
      </c>
      <c r="I1381" s="547"/>
      <c r="J1381" s="549"/>
      <c r="K1381" s="548"/>
      <c r="L1381" s="547"/>
      <c r="M1381" s="549"/>
      <c r="N1381" s="550"/>
      <c r="O1381" s="551"/>
    </row>
    <row r="1382" spans="1:15" s="552" customFormat="1" ht="18.75" customHeight="1" x14ac:dyDescent="0.25">
      <c r="A1382" s="543"/>
      <c r="B1382" s="544"/>
      <c r="C1382" s="513">
        <v>2696</v>
      </c>
      <c r="D1382" s="545" t="s">
        <v>765</v>
      </c>
      <c r="E1382" s="514" t="s">
        <v>42</v>
      </c>
      <c r="F1382" s="546">
        <v>1.4</v>
      </c>
      <c r="G1382" s="547">
        <v>12.57</v>
      </c>
      <c r="H1382" s="548"/>
      <c r="I1382" s="547">
        <f>F1382*G1382</f>
        <v>17.597999999999999</v>
      </c>
      <c r="J1382" s="549"/>
      <c r="K1382" s="548"/>
      <c r="L1382" s="547"/>
      <c r="M1382" s="549"/>
      <c r="N1382" s="550"/>
      <c r="O1382" s="551"/>
    </row>
    <row r="1383" spans="1:15" s="23" customFormat="1" ht="22.5" x14ac:dyDescent="0.2">
      <c r="A1383" s="136"/>
      <c r="B1383" s="128"/>
      <c r="C1383" s="32"/>
      <c r="D1383" s="123" t="s">
        <v>35</v>
      </c>
      <c r="E1383" s="32" t="s">
        <v>41</v>
      </c>
      <c r="F1383" s="481">
        <v>0.94</v>
      </c>
      <c r="G1383" s="482">
        <v>0.13</v>
      </c>
      <c r="H1383" s="483">
        <f>F1383*G1383</f>
        <v>0.1222</v>
      </c>
      <c r="I1383" s="484"/>
      <c r="J1383" s="485"/>
      <c r="K1383" s="482"/>
      <c r="L1383" s="482"/>
      <c r="M1383" s="486"/>
      <c r="N1383" s="91"/>
      <c r="O1383" s="91"/>
    </row>
    <row r="1384" spans="1:15" s="23" customFormat="1" ht="14.25" x14ac:dyDescent="0.2">
      <c r="A1384" s="136"/>
      <c r="B1384" s="128"/>
      <c r="C1384" s="32"/>
      <c r="D1384" s="123"/>
      <c r="E1384" s="32"/>
      <c r="F1384" s="481"/>
      <c r="G1384" s="482"/>
      <c r="H1384" s="483"/>
      <c r="I1384" s="484"/>
      <c r="J1384" s="485"/>
      <c r="K1384" s="482"/>
      <c r="L1384" s="482"/>
      <c r="M1384" s="486"/>
      <c r="N1384" s="91"/>
      <c r="O1384" s="91"/>
    </row>
    <row r="1385" spans="1:15" s="266" customFormat="1" ht="12.75" x14ac:dyDescent="0.2">
      <c r="A1385" s="516"/>
      <c r="B1385" s="517"/>
      <c r="C1385" s="518" t="s">
        <v>578</v>
      </c>
      <c r="D1385" s="519" t="s">
        <v>84</v>
      </c>
      <c r="E1385" s="520"/>
      <c r="F1385" s="519"/>
      <c r="G1385" s="520"/>
      <c r="H1385" s="521"/>
      <c r="I1385" s="522"/>
      <c r="J1385" s="523"/>
      <c r="K1385" s="521"/>
      <c r="L1385" s="522"/>
      <c r="M1385" s="523"/>
      <c r="N1385" s="524"/>
      <c r="O1385" s="525">
        <f>SUM(O1387:O1406)</f>
        <v>7742.6156138400002</v>
      </c>
    </row>
    <row r="1386" spans="1:15" x14ac:dyDescent="0.25">
      <c r="A1386" s="137"/>
      <c r="B1386" s="127"/>
      <c r="C1386" s="9"/>
      <c r="D1386" s="125" t="s">
        <v>83</v>
      </c>
      <c r="E1386" s="4"/>
      <c r="F1386" s="121"/>
      <c r="G1386" s="5"/>
      <c r="H1386" s="114"/>
      <c r="I1386" s="5"/>
      <c r="J1386" s="115"/>
      <c r="K1386" s="114"/>
      <c r="L1386" s="5"/>
      <c r="M1386" s="115"/>
      <c r="N1386" s="95"/>
      <c r="O1386" s="95"/>
    </row>
    <row r="1387" spans="1:15" s="23" customFormat="1" ht="14.25" x14ac:dyDescent="0.2">
      <c r="A1387" s="223" t="s">
        <v>78</v>
      </c>
      <c r="B1387" s="224">
        <v>88497</v>
      </c>
      <c r="C1387" s="225" t="s">
        <v>824</v>
      </c>
      <c r="D1387" s="232" t="s">
        <v>734</v>
      </c>
      <c r="E1387" s="225" t="s">
        <v>94</v>
      </c>
      <c r="F1387" s="515">
        <f>'MEMÓRIA DE CÁLCULO'!K238</f>
        <v>239.65799999999999</v>
      </c>
      <c r="G1387" s="228"/>
      <c r="H1387" s="229">
        <f>ROUND(SUM(H1388:H1391),2)</f>
        <v>4.12</v>
      </c>
      <c r="I1387" s="229">
        <f>ROUND(SUM(I1388:I1391),2)</f>
        <v>4.9400000000000004</v>
      </c>
      <c r="J1387" s="231">
        <f>(H1387+I1387)</f>
        <v>9.06</v>
      </c>
      <c r="K1387" s="229">
        <f>F1387*H1387</f>
        <v>987.39095999999995</v>
      </c>
      <c r="L1387" s="230">
        <f>F1387*I1387</f>
        <v>1183.9105200000001</v>
      </c>
      <c r="M1387" s="231">
        <f>K1387+L1387</f>
        <v>2171.3014800000001</v>
      </c>
      <c r="N1387" s="227">
        <f>M1387*$N$7</f>
        <v>587.98844078399998</v>
      </c>
      <c r="O1387" s="227">
        <f>M1387+N1387</f>
        <v>2759.2899207840001</v>
      </c>
    </row>
    <row r="1388" spans="1:15" s="552" customFormat="1" ht="15" customHeight="1" x14ac:dyDescent="0.25">
      <c r="A1388" s="543"/>
      <c r="B1388" s="544" t="s">
        <v>715</v>
      </c>
      <c r="C1388" s="513">
        <v>4783</v>
      </c>
      <c r="D1388" s="545" t="s">
        <v>738</v>
      </c>
      <c r="E1388" s="514" t="s">
        <v>42</v>
      </c>
      <c r="F1388" s="546">
        <v>0.312</v>
      </c>
      <c r="G1388" s="547">
        <v>12.57</v>
      </c>
      <c r="H1388" s="548"/>
      <c r="I1388" s="547">
        <f>F1388*G1388</f>
        <v>3.92184</v>
      </c>
      <c r="J1388" s="549"/>
      <c r="K1388" s="548"/>
      <c r="L1388" s="547"/>
      <c r="M1388" s="549"/>
      <c r="N1388" s="550"/>
      <c r="O1388" s="551"/>
    </row>
    <row r="1389" spans="1:15" s="552" customFormat="1" ht="15" customHeight="1" x14ac:dyDescent="0.25">
      <c r="A1389" s="543"/>
      <c r="B1389" s="544" t="s">
        <v>658</v>
      </c>
      <c r="C1389" s="513">
        <v>6111</v>
      </c>
      <c r="D1389" s="545" t="s">
        <v>670</v>
      </c>
      <c r="E1389" s="514" t="s">
        <v>42</v>
      </c>
      <c r="F1389" s="546">
        <v>0.114</v>
      </c>
      <c r="G1389" s="547">
        <v>8.92</v>
      </c>
      <c r="H1389" s="548"/>
      <c r="I1389" s="547">
        <f t="shared" ref="I1389" si="178">F1389*G1389</f>
        <v>1.01688</v>
      </c>
      <c r="J1389" s="549"/>
      <c r="K1389" s="548"/>
      <c r="L1389" s="547"/>
      <c r="M1389" s="549"/>
      <c r="N1389" s="550"/>
      <c r="O1389" s="551"/>
    </row>
    <row r="1390" spans="1:15" s="552" customFormat="1" ht="15" customHeight="1" x14ac:dyDescent="0.25">
      <c r="A1390" s="543"/>
      <c r="B1390" s="544" t="s">
        <v>657</v>
      </c>
      <c r="C1390" s="513">
        <v>3767</v>
      </c>
      <c r="D1390" s="545" t="s">
        <v>735</v>
      </c>
      <c r="E1390" s="514" t="s">
        <v>81</v>
      </c>
      <c r="F1390" s="546">
        <v>0.06</v>
      </c>
      <c r="G1390" s="547">
        <v>0.73</v>
      </c>
      <c r="H1390" s="548">
        <f t="shared" ref="H1390" si="179">F1390*G1390</f>
        <v>4.3799999999999999E-2</v>
      </c>
      <c r="I1390" s="547"/>
      <c r="J1390" s="549"/>
      <c r="K1390" s="548"/>
      <c r="L1390" s="547"/>
      <c r="M1390" s="549"/>
      <c r="N1390" s="550"/>
      <c r="O1390" s="551"/>
    </row>
    <row r="1391" spans="1:15" s="552" customFormat="1" ht="15" customHeight="1" x14ac:dyDescent="0.25">
      <c r="A1391" s="543"/>
      <c r="B1391" s="544" t="s">
        <v>657</v>
      </c>
      <c r="C1391" s="513">
        <v>4051</v>
      </c>
      <c r="D1391" s="545" t="s">
        <v>736</v>
      </c>
      <c r="E1391" s="514" t="s">
        <v>737</v>
      </c>
      <c r="F1391" s="546">
        <v>4.8899999999999999E-2</v>
      </c>
      <c r="G1391" s="547">
        <v>83.3</v>
      </c>
      <c r="H1391" s="548">
        <f>F1391*G1391</f>
        <v>4.0733699999999997</v>
      </c>
      <c r="I1391" s="547"/>
      <c r="J1391" s="549"/>
      <c r="K1391" s="548"/>
      <c r="L1391" s="547"/>
      <c r="M1391" s="549"/>
      <c r="N1391" s="550"/>
      <c r="O1391" s="551"/>
    </row>
    <row r="1392" spans="1:15" s="23" customFormat="1" ht="14.25" x14ac:dyDescent="0.2">
      <c r="A1392" s="137"/>
      <c r="B1392" s="127"/>
      <c r="C1392" s="9"/>
      <c r="D1392" s="125" t="s">
        <v>83</v>
      </c>
      <c r="E1392" s="4"/>
      <c r="F1392" s="121"/>
      <c r="G1392" s="5"/>
      <c r="H1392" s="114"/>
      <c r="I1392" s="5"/>
      <c r="J1392" s="115"/>
      <c r="K1392" s="114"/>
      <c r="L1392" s="5"/>
      <c r="M1392" s="115"/>
      <c r="N1392" s="95"/>
      <c r="O1392" s="95"/>
    </row>
    <row r="1393" spans="1:15" s="23" customFormat="1" ht="14.25" x14ac:dyDescent="0.2">
      <c r="A1393" s="223" t="s">
        <v>78</v>
      </c>
      <c r="B1393" s="224">
        <v>88489</v>
      </c>
      <c r="C1393" s="225" t="s">
        <v>825</v>
      </c>
      <c r="D1393" s="226" t="s">
        <v>217</v>
      </c>
      <c r="E1393" s="225" t="s">
        <v>94</v>
      </c>
      <c r="F1393" s="515">
        <f>'MEMÓRIA DE CÁLCULO'!J238</f>
        <v>379.44799999999998</v>
      </c>
      <c r="G1393" s="228"/>
      <c r="H1393" s="229">
        <f>ROUND(SUM(H1394:H1396),2)</f>
        <v>6.07</v>
      </c>
      <c r="I1393" s="229">
        <f>ROUND(SUM(I1394:I1396),2)</f>
        <v>2.97</v>
      </c>
      <c r="J1393" s="231">
        <f>(H1393+I1393)</f>
        <v>9.0400000000000009</v>
      </c>
      <c r="K1393" s="229">
        <f>F1393*H1393</f>
        <v>2303.2493599999998</v>
      </c>
      <c r="L1393" s="230">
        <f>F1393*I1393</f>
        <v>1126.96056</v>
      </c>
      <c r="M1393" s="231">
        <f>K1393+L1393</f>
        <v>3430.2099199999998</v>
      </c>
      <c r="N1393" s="227">
        <f>M1393*$N$7</f>
        <v>928.90084633599986</v>
      </c>
      <c r="O1393" s="227">
        <f>M1393+N1393</f>
        <v>4359.1107663359999</v>
      </c>
    </row>
    <row r="1394" spans="1:15" s="552" customFormat="1" ht="15" customHeight="1" x14ac:dyDescent="0.25">
      <c r="A1394" s="543"/>
      <c r="B1394" s="544" t="s">
        <v>715</v>
      </c>
      <c r="C1394" s="513">
        <v>4783</v>
      </c>
      <c r="D1394" s="545" t="s">
        <v>738</v>
      </c>
      <c r="E1394" s="514" t="s">
        <v>42</v>
      </c>
      <c r="F1394" s="546">
        <v>0.187</v>
      </c>
      <c r="G1394" s="547">
        <v>12.57</v>
      </c>
      <c r="H1394" s="548"/>
      <c r="I1394" s="547">
        <f>F1394*G1394</f>
        <v>2.35059</v>
      </c>
      <c r="J1394" s="549"/>
      <c r="K1394" s="548"/>
      <c r="L1394" s="547"/>
      <c r="M1394" s="549"/>
      <c r="N1394" s="550"/>
      <c r="O1394" s="551"/>
    </row>
    <row r="1395" spans="1:15" s="552" customFormat="1" ht="15" customHeight="1" x14ac:dyDescent="0.25">
      <c r="A1395" s="543"/>
      <c r="B1395" s="544" t="s">
        <v>658</v>
      </c>
      <c r="C1395" s="513">
        <v>6111</v>
      </c>
      <c r="D1395" s="545" t="s">
        <v>670</v>
      </c>
      <c r="E1395" s="514" t="s">
        <v>42</v>
      </c>
      <c r="F1395" s="546">
        <v>6.9000000000000006E-2</v>
      </c>
      <c r="G1395" s="547">
        <v>8.92</v>
      </c>
      <c r="H1395" s="548"/>
      <c r="I1395" s="547">
        <f t="shared" ref="I1395" si="180">F1395*G1395</f>
        <v>0.61548000000000003</v>
      </c>
      <c r="J1395" s="549"/>
      <c r="K1395" s="548"/>
      <c r="L1395" s="547"/>
      <c r="M1395" s="549"/>
      <c r="N1395" s="550"/>
      <c r="O1395" s="551"/>
    </row>
    <row r="1396" spans="1:15" s="552" customFormat="1" ht="15" customHeight="1" x14ac:dyDescent="0.25">
      <c r="A1396" s="543"/>
      <c r="B1396" s="544" t="s">
        <v>657</v>
      </c>
      <c r="C1396" s="513">
        <v>7356</v>
      </c>
      <c r="D1396" s="545" t="s">
        <v>739</v>
      </c>
      <c r="E1396" s="514" t="s">
        <v>740</v>
      </c>
      <c r="F1396" s="546">
        <v>0.33</v>
      </c>
      <c r="G1396" s="547">
        <v>18.38</v>
      </c>
      <c r="H1396" s="548">
        <f t="shared" ref="H1396" si="181">F1396*G1396</f>
        <v>6.0654000000000003</v>
      </c>
      <c r="I1396" s="547"/>
      <c r="J1396" s="549"/>
      <c r="K1396" s="548"/>
      <c r="L1396" s="547"/>
      <c r="M1396" s="549"/>
      <c r="N1396" s="550"/>
      <c r="O1396" s="551"/>
    </row>
    <row r="1397" spans="1:15" x14ac:dyDescent="0.25">
      <c r="A1397" s="137"/>
      <c r="B1397" s="127"/>
      <c r="C1397" s="9"/>
      <c r="D1397" s="125" t="s">
        <v>83</v>
      </c>
      <c r="E1397" s="4"/>
      <c r="F1397" s="121"/>
      <c r="G1397" s="5"/>
      <c r="H1397" s="114"/>
      <c r="I1397" s="5"/>
      <c r="J1397" s="115"/>
      <c r="K1397" s="114"/>
      <c r="L1397" s="5"/>
      <c r="M1397" s="115"/>
      <c r="N1397" s="95"/>
      <c r="O1397" s="95"/>
    </row>
    <row r="1398" spans="1:15" s="23" customFormat="1" ht="22.5" x14ac:dyDescent="0.2">
      <c r="A1398" s="223" t="s">
        <v>78</v>
      </c>
      <c r="B1398" s="224" t="s">
        <v>741</v>
      </c>
      <c r="C1398" s="225" t="s">
        <v>826</v>
      </c>
      <c r="D1398" s="226" t="s">
        <v>219</v>
      </c>
      <c r="E1398" s="225" t="s">
        <v>94</v>
      </c>
      <c r="F1398" s="515">
        <f>'MEMÓRIA DE CÁLCULO'!G258</f>
        <v>27.720000000000006</v>
      </c>
      <c r="G1398" s="228"/>
      <c r="H1398" s="229">
        <f>ROUND(SUM(H1399:H1405),2)</f>
        <v>12.4</v>
      </c>
      <c r="I1398" s="229">
        <f>ROUND(SUM(I1399:I1405),2)</f>
        <v>5.32</v>
      </c>
      <c r="J1398" s="231">
        <f>(H1398+I1398)</f>
        <v>17.72</v>
      </c>
      <c r="K1398" s="229">
        <f>F1398*H1398</f>
        <v>343.72800000000007</v>
      </c>
      <c r="L1398" s="230">
        <f>F1398*I1398</f>
        <v>147.47040000000004</v>
      </c>
      <c r="M1398" s="231">
        <f>K1398+L1398</f>
        <v>491.19840000000011</v>
      </c>
      <c r="N1398" s="227">
        <f>M1398*$N$7</f>
        <v>133.01652672000003</v>
      </c>
      <c r="O1398" s="227">
        <f>M1398+N1398</f>
        <v>624.21492672000011</v>
      </c>
    </row>
    <row r="1399" spans="1:15" s="552" customFormat="1" ht="15" customHeight="1" x14ac:dyDescent="0.25">
      <c r="A1399" s="543"/>
      <c r="B1399" s="544" t="s">
        <v>715</v>
      </c>
      <c r="C1399" s="513">
        <v>4783</v>
      </c>
      <c r="D1399" s="545" t="s">
        <v>738</v>
      </c>
      <c r="E1399" s="514" t="s">
        <v>42</v>
      </c>
      <c r="F1399" s="546">
        <v>0.312</v>
      </c>
      <c r="G1399" s="547">
        <v>12.57</v>
      </c>
      <c r="H1399" s="548"/>
      <c r="I1399" s="547">
        <f>F1399*G1399</f>
        <v>3.92184</v>
      </c>
      <c r="J1399" s="549"/>
      <c r="K1399" s="548"/>
      <c r="L1399" s="547"/>
      <c r="M1399" s="549"/>
      <c r="N1399" s="550"/>
      <c r="O1399" s="551"/>
    </row>
    <row r="1400" spans="1:15" s="552" customFormat="1" ht="15" customHeight="1" x14ac:dyDescent="0.25">
      <c r="A1400" s="543"/>
      <c r="B1400" s="544" t="s">
        <v>658</v>
      </c>
      <c r="C1400" s="513">
        <v>6111</v>
      </c>
      <c r="D1400" s="545" t="s">
        <v>670</v>
      </c>
      <c r="E1400" s="514" t="s">
        <v>42</v>
      </c>
      <c r="F1400" s="546">
        <v>0.114</v>
      </c>
      <c r="G1400" s="547">
        <v>8.92</v>
      </c>
      <c r="H1400" s="548"/>
      <c r="I1400" s="547">
        <f t="shared" ref="I1400" si="182">F1400*G1400</f>
        <v>1.01688</v>
      </c>
      <c r="J1400" s="549"/>
      <c r="K1400" s="548"/>
      <c r="L1400" s="547"/>
      <c r="M1400" s="549"/>
      <c r="N1400" s="550"/>
      <c r="O1400" s="551"/>
    </row>
    <row r="1401" spans="1:15" s="552" customFormat="1" ht="15" customHeight="1" x14ac:dyDescent="0.25">
      <c r="A1401" s="543"/>
      <c r="B1401" s="544" t="s">
        <v>657</v>
      </c>
      <c r="C1401" s="513">
        <v>3767</v>
      </c>
      <c r="D1401" s="545" t="s">
        <v>735</v>
      </c>
      <c r="E1401" s="514" t="s">
        <v>81</v>
      </c>
      <c r="F1401" s="546">
        <v>0.06</v>
      </c>
      <c r="G1401" s="547">
        <v>0.73</v>
      </c>
      <c r="H1401" s="548">
        <f t="shared" ref="H1401" si="183">F1401*G1401</f>
        <v>4.3799999999999999E-2</v>
      </c>
      <c r="I1401" s="547"/>
      <c r="J1401" s="549"/>
      <c r="K1401" s="548"/>
      <c r="L1401" s="547"/>
      <c r="M1401" s="549"/>
      <c r="N1401" s="550"/>
      <c r="O1401" s="551"/>
    </row>
    <row r="1402" spans="1:15" s="552" customFormat="1" ht="15" customHeight="1" x14ac:dyDescent="0.25">
      <c r="A1402" s="543"/>
      <c r="B1402" s="544" t="s">
        <v>657</v>
      </c>
      <c r="C1402" s="513">
        <v>4051</v>
      </c>
      <c r="D1402" s="545" t="s">
        <v>736</v>
      </c>
      <c r="E1402" s="514" t="s">
        <v>737</v>
      </c>
      <c r="F1402" s="546">
        <v>4.8899999999999999E-2</v>
      </c>
      <c r="G1402" s="547">
        <v>83.3</v>
      </c>
      <c r="H1402" s="548">
        <f>F1402*G1402</f>
        <v>4.0733699999999997</v>
      </c>
      <c r="I1402" s="547"/>
      <c r="J1402" s="549"/>
      <c r="K1402" s="548"/>
      <c r="L1402" s="547"/>
      <c r="M1402" s="549"/>
      <c r="N1402" s="550"/>
      <c r="O1402" s="551"/>
    </row>
    <row r="1403" spans="1:15" s="552" customFormat="1" ht="15" customHeight="1" x14ac:dyDescent="0.25">
      <c r="A1403" s="543"/>
      <c r="B1403" s="544" t="s">
        <v>658</v>
      </c>
      <c r="C1403" s="513">
        <v>5318</v>
      </c>
      <c r="D1403" s="545" t="s">
        <v>742</v>
      </c>
      <c r="E1403" s="514" t="s">
        <v>740</v>
      </c>
      <c r="F1403" s="546">
        <v>0.04</v>
      </c>
      <c r="G1403" s="547">
        <v>9.5</v>
      </c>
      <c r="H1403" s="548"/>
      <c r="I1403" s="547">
        <f t="shared" ref="I1403" si="184">F1403*G1403</f>
        <v>0.38</v>
      </c>
      <c r="J1403" s="549"/>
      <c r="K1403" s="548"/>
      <c r="L1403" s="547"/>
      <c r="M1403" s="549"/>
      <c r="N1403" s="550"/>
      <c r="O1403" s="551"/>
    </row>
    <row r="1404" spans="1:15" s="552" customFormat="1" ht="15" customHeight="1" x14ac:dyDescent="0.25">
      <c r="A1404" s="543"/>
      <c r="B1404" s="544" t="s">
        <v>657</v>
      </c>
      <c r="C1404" s="513">
        <v>6086</v>
      </c>
      <c r="D1404" s="545" t="s">
        <v>743</v>
      </c>
      <c r="E1404" s="514" t="s">
        <v>744</v>
      </c>
      <c r="F1404" s="546">
        <v>5.6000000000000001E-2</v>
      </c>
      <c r="G1404" s="547">
        <v>82.34</v>
      </c>
      <c r="H1404" s="548">
        <f t="shared" ref="H1404" si="185">F1404*G1404</f>
        <v>4.61104</v>
      </c>
      <c r="I1404" s="547"/>
      <c r="J1404" s="549"/>
      <c r="K1404" s="548"/>
      <c r="L1404" s="547"/>
      <c r="M1404" s="549"/>
      <c r="N1404" s="550"/>
      <c r="O1404" s="551"/>
    </row>
    <row r="1405" spans="1:15" s="552" customFormat="1" ht="15" customHeight="1" x14ac:dyDescent="0.25">
      <c r="A1405" s="543"/>
      <c r="B1405" s="544" t="s">
        <v>657</v>
      </c>
      <c r="C1405" s="513">
        <v>7311</v>
      </c>
      <c r="D1405" s="545" t="s">
        <v>745</v>
      </c>
      <c r="E1405" s="514" t="s">
        <v>740</v>
      </c>
      <c r="F1405" s="546">
        <v>0.16</v>
      </c>
      <c r="G1405" s="547">
        <v>22.92</v>
      </c>
      <c r="H1405" s="548">
        <f>F1405*G1405</f>
        <v>3.6672000000000002</v>
      </c>
      <c r="I1405" s="547"/>
      <c r="J1405" s="549"/>
      <c r="K1405" s="548"/>
      <c r="L1405" s="547"/>
      <c r="M1405" s="549"/>
      <c r="N1405" s="550"/>
      <c r="O1405" s="551"/>
    </row>
    <row r="1406" spans="1:15" x14ac:dyDescent="0.25">
      <c r="A1406" s="137"/>
      <c r="B1406" s="127"/>
      <c r="C1406" s="9"/>
      <c r="D1406" s="125" t="s">
        <v>83</v>
      </c>
      <c r="E1406" s="4"/>
      <c r="F1406" s="121"/>
      <c r="G1406" s="5"/>
      <c r="H1406" s="114"/>
      <c r="I1406" s="5"/>
      <c r="J1406" s="115"/>
      <c r="K1406" s="114"/>
      <c r="L1406" s="5"/>
      <c r="M1406" s="115"/>
      <c r="N1406" s="95"/>
      <c r="O1406" s="95"/>
    </row>
    <row r="1407" spans="1:15" s="266" customFormat="1" ht="12.75" x14ac:dyDescent="0.2">
      <c r="A1407" s="516"/>
      <c r="B1407" s="224"/>
      <c r="C1407" s="518" t="s">
        <v>579</v>
      </c>
      <c r="D1407" s="519" t="s">
        <v>512</v>
      </c>
      <c r="E1407" s="520"/>
      <c r="F1407" s="519"/>
      <c r="G1407" s="520"/>
      <c r="H1407" s="521"/>
      <c r="I1407" s="522"/>
      <c r="J1407" s="523"/>
      <c r="K1407" s="521"/>
      <c r="L1407" s="522"/>
      <c r="M1407" s="523"/>
      <c r="N1407" s="524"/>
      <c r="O1407" s="525">
        <f>SUM(O1409:O1445)</f>
        <v>18824.087208000001</v>
      </c>
    </row>
    <row r="1408" spans="1:15" s="179" customFormat="1" ht="11.25" x14ac:dyDescent="0.25">
      <c r="A1408" s="168"/>
      <c r="B1408" s="128"/>
      <c r="C1408" s="32"/>
      <c r="D1408" s="123" t="s">
        <v>83</v>
      </c>
      <c r="E1408" s="32"/>
      <c r="F1408" s="481"/>
      <c r="G1408" s="482"/>
      <c r="H1408" s="487"/>
      <c r="I1408" s="482"/>
      <c r="J1408" s="486"/>
      <c r="K1408" s="487"/>
      <c r="L1408" s="482"/>
      <c r="M1408" s="486"/>
      <c r="N1408" s="91"/>
      <c r="O1408" s="180"/>
    </row>
    <row r="1409" spans="1:15" s="167" customFormat="1" ht="11.25" x14ac:dyDescent="0.2">
      <c r="A1409" s="488"/>
      <c r="B1409" s="120"/>
      <c r="C1409" s="122"/>
      <c r="D1409" s="124" t="s">
        <v>513</v>
      </c>
      <c r="E1409" s="122"/>
      <c r="F1409" s="489"/>
      <c r="G1409" s="490"/>
      <c r="H1409" s="491"/>
      <c r="I1409" s="492"/>
      <c r="J1409" s="493"/>
      <c r="K1409" s="491"/>
      <c r="L1409" s="492"/>
      <c r="M1409" s="493"/>
      <c r="N1409" s="489"/>
      <c r="O1409" s="494"/>
    </row>
    <row r="1410" spans="1:15" s="23" customFormat="1" ht="22.5" x14ac:dyDescent="0.2">
      <c r="A1410" s="223" t="s">
        <v>39</v>
      </c>
      <c r="B1410" s="224" t="s">
        <v>514</v>
      </c>
      <c r="C1410" s="225" t="s">
        <v>580</v>
      </c>
      <c r="D1410" s="226" t="s">
        <v>1075</v>
      </c>
      <c r="E1410" s="225" t="s">
        <v>41</v>
      </c>
      <c r="F1410" s="515">
        <v>1</v>
      </c>
      <c r="G1410" s="228"/>
      <c r="H1410" s="229">
        <f>ROUND(SUM(H1411:H1422),2)</f>
        <v>1760.4</v>
      </c>
      <c r="I1410" s="230">
        <f>ROUND(SUM(I1411:I1422),2)</f>
        <v>471.14</v>
      </c>
      <c r="J1410" s="231">
        <f>(H1410+I1410)</f>
        <v>2231.54</v>
      </c>
      <c r="K1410" s="229">
        <f>F1410*H1410</f>
        <v>1760.4</v>
      </c>
      <c r="L1410" s="230">
        <f>F1410*I1410</f>
        <v>471.14</v>
      </c>
      <c r="M1410" s="231">
        <f>K1410+L1410</f>
        <v>2231.54</v>
      </c>
      <c r="N1410" s="227">
        <f>M1410*$N$7</f>
        <v>604.30103199999996</v>
      </c>
      <c r="O1410" s="227">
        <f>M1410+N1410</f>
        <v>2835.8410319999998</v>
      </c>
    </row>
    <row r="1411" spans="1:15" s="552" customFormat="1" ht="18.75" customHeight="1" x14ac:dyDescent="0.25">
      <c r="A1411" s="543"/>
      <c r="B1411" s="544"/>
      <c r="C1411" s="513"/>
      <c r="D1411" s="545" t="s">
        <v>524</v>
      </c>
      <c r="E1411" s="514" t="s">
        <v>516</v>
      </c>
      <c r="F1411" s="546">
        <v>0.3</v>
      </c>
      <c r="G1411" s="547">
        <v>2372.7800000000002</v>
      </c>
      <c r="H1411" s="548">
        <f>F1411*G1411</f>
        <v>711.83400000000006</v>
      </c>
      <c r="I1411" s="547"/>
      <c r="J1411" s="549"/>
      <c r="K1411" s="548"/>
      <c r="L1411" s="547"/>
      <c r="M1411" s="549"/>
      <c r="N1411" s="550"/>
      <c r="O1411" s="551"/>
    </row>
    <row r="1412" spans="1:15" s="552" customFormat="1" ht="18.75" customHeight="1" x14ac:dyDescent="0.25">
      <c r="A1412" s="543"/>
      <c r="B1412" s="544" t="s">
        <v>658</v>
      </c>
      <c r="C1412" s="513">
        <v>246</v>
      </c>
      <c r="D1412" s="545" t="s">
        <v>766</v>
      </c>
      <c r="E1412" s="514" t="s">
        <v>42</v>
      </c>
      <c r="F1412" s="546">
        <v>8.6999999999999993</v>
      </c>
      <c r="G1412" s="547">
        <v>9.4499999999999993</v>
      </c>
      <c r="H1412" s="548"/>
      <c r="I1412" s="547">
        <f>F1412*G1412</f>
        <v>82.214999999999989</v>
      </c>
      <c r="J1412" s="549"/>
      <c r="K1412" s="548"/>
      <c r="L1412" s="547"/>
      <c r="M1412" s="549"/>
      <c r="N1412" s="550"/>
      <c r="O1412" s="551"/>
    </row>
    <row r="1413" spans="1:15" s="552" customFormat="1" ht="18.75" customHeight="1" x14ac:dyDescent="0.25">
      <c r="A1413" s="543"/>
      <c r="B1413" s="544" t="s">
        <v>658</v>
      </c>
      <c r="C1413" s="513">
        <v>2696</v>
      </c>
      <c r="D1413" s="545" t="s">
        <v>767</v>
      </c>
      <c r="E1413" s="514" t="s">
        <v>42</v>
      </c>
      <c r="F1413" s="546">
        <v>8.6999999999999993</v>
      </c>
      <c r="G1413" s="547">
        <v>12.57</v>
      </c>
      <c r="H1413" s="548"/>
      <c r="I1413" s="547">
        <f>F1413*G1413</f>
        <v>109.35899999999999</v>
      </c>
      <c r="J1413" s="549"/>
      <c r="K1413" s="548"/>
      <c r="L1413" s="547"/>
      <c r="M1413" s="549"/>
      <c r="N1413" s="550"/>
      <c r="O1413" s="551"/>
    </row>
    <row r="1414" spans="1:15" s="552" customFormat="1" ht="18.75" customHeight="1" x14ac:dyDescent="0.25">
      <c r="A1414" s="543"/>
      <c r="B1414" s="544" t="s">
        <v>658</v>
      </c>
      <c r="C1414" s="513">
        <v>247</v>
      </c>
      <c r="D1414" s="545" t="s">
        <v>768</v>
      </c>
      <c r="E1414" s="514" t="s">
        <v>42</v>
      </c>
      <c r="F1414" s="546">
        <v>3.3</v>
      </c>
      <c r="G1414" s="547">
        <v>9.65</v>
      </c>
      <c r="H1414" s="548"/>
      <c r="I1414" s="547">
        <f t="shared" ref="I1414:I1415" si="186">F1414*G1414</f>
        <v>31.844999999999999</v>
      </c>
      <c r="J1414" s="549"/>
      <c r="K1414" s="548"/>
      <c r="L1414" s="547"/>
      <c r="M1414" s="549"/>
      <c r="N1414" s="550"/>
      <c r="O1414" s="551"/>
    </row>
    <row r="1415" spans="1:15" s="552" customFormat="1" ht="18.75" customHeight="1" x14ac:dyDescent="0.25">
      <c r="A1415" s="543"/>
      <c r="B1415" s="544" t="s">
        <v>658</v>
      </c>
      <c r="C1415" s="513">
        <v>2436</v>
      </c>
      <c r="D1415" s="545" t="s">
        <v>239</v>
      </c>
      <c r="E1415" s="514" t="s">
        <v>42</v>
      </c>
      <c r="F1415" s="546">
        <v>3.3</v>
      </c>
      <c r="G1415" s="547">
        <v>12.57</v>
      </c>
      <c r="H1415" s="548"/>
      <c r="I1415" s="547">
        <f t="shared" si="186"/>
        <v>41.481000000000002</v>
      </c>
      <c r="J1415" s="549"/>
      <c r="K1415" s="548"/>
      <c r="L1415" s="547"/>
      <c r="M1415" s="549"/>
      <c r="N1415" s="550"/>
      <c r="O1415" s="551"/>
    </row>
    <row r="1416" spans="1:15" s="552" customFormat="1" ht="15" customHeight="1" x14ac:dyDescent="0.25">
      <c r="A1416" s="543"/>
      <c r="B1416" s="544" t="s">
        <v>658</v>
      </c>
      <c r="C1416" s="513">
        <v>2700</v>
      </c>
      <c r="D1416" s="545" t="s">
        <v>671</v>
      </c>
      <c r="E1416" s="514" t="s">
        <v>42</v>
      </c>
      <c r="F1416" s="546">
        <v>8</v>
      </c>
      <c r="G1416" s="547">
        <v>16.86</v>
      </c>
      <c r="H1416" s="548"/>
      <c r="I1416" s="547">
        <f>F1416*G1416</f>
        <v>134.88</v>
      </c>
      <c r="J1416" s="549"/>
      <c r="K1416" s="548"/>
      <c r="L1416" s="547"/>
      <c r="M1416" s="549"/>
      <c r="N1416" s="550"/>
      <c r="O1416" s="551"/>
    </row>
    <row r="1417" spans="1:15" s="552" customFormat="1" ht="15" customHeight="1" x14ac:dyDescent="0.25">
      <c r="A1417" s="543"/>
      <c r="B1417" s="544" t="s">
        <v>658</v>
      </c>
      <c r="C1417" s="513">
        <v>6111</v>
      </c>
      <c r="D1417" s="545" t="s">
        <v>670</v>
      </c>
      <c r="E1417" s="514" t="s">
        <v>42</v>
      </c>
      <c r="F1417" s="546">
        <v>8</v>
      </c>
      <c r="G1417" s="547">
        <v>8.92</v>
      </c>
      <c r="H1417" s="548"/>
      <c r="I1417" s="547">
        <f t="shared" ref="I1417" si="187">F1417*G1417</f>
        <v>71.36</v>
      </c>
      <c r="J1417" s="549"/>
      <c r="K1417" s="548"/>
      <c r="L1417" s="547"/>
      <c r="M1417" s="549"/>
      <c r="N1417" s="550"/>
      <c r="O1417" s="551"/>
    </row>
    <row r="1418" spans="1:15" s="552" customFormat="1" ht="18.75" customHeight="1" x14ac:dyDescent="0.25">
      <c r="A1418" s="543"/>
      <c r="B1418" s="544"/>
      <c r="C1418" s="513" t="s">
        <v>517</v>
      </c>
      <c r="D1418" s="545" t="s">
        <v>518</v>
      </c>
      <c r="E1418" s="514" t="s">
        <v>56</v>
      </c>
      <c r="F1418" s="546">
        <v>17</v>
      </c>
      <c r="G1418" s="547">
        <v>18.97</v>
      </c>
      <c r="H1418" s="548">
        <f>F1418*G1418</f>
        <v>322.49</v>
      </c>
      <c r="I1418" s="547"/>
      <c r="J1418" s="549"/>
      <c r="K1418" s="548"/>
      <c r="L1418" s="547"/>
      <c r="M1418" s="549"/>
      <c r="N1418" s="550"/>
      <c r="O1418" s="551"/>
    </row>
    <row r="1419" spans="1:15" s="552" customFormat="1" ht="18.75" customHeight="1" x14ac:dyDescent="0.25">
      <c r="A1419" s="543"/>
      <c r="B1419" s="544"/>
      <c r="C1419" s="513" t="s">
        <v>519</v>
      </c>
      <c r="D1419" s="545" t="s">
        <v>520</v>
      </c>
      <c r="E1419" s="514" t="s">
        <v>56</v>
      </c>
      <c r="F1419" s="546">
        <v>15</v>
      </c>
      <c r="G1419" s="547">
        <v>46.36</v>
      </c>
      <c r="H1419" s="548">
        <f>F1419*G1419</f>
        <v>695.4</v>
      </c>
      <c r="I1419" s="547"/>
      <c r="J1419" s="549"/>
      <c r="K1419" s="548"/>
      <c r="L1419" s="547"/>
      <c r="M1419" s="549"/>
      <c r="N1419" s="550"/>
      <c r="O1419" s="551"/>
    </row>
    <row r="1420" spans="1:15" s="552" customFormat="1" ht="18.75" customHeight="1" x14ac:dyDescent="0.25">
      <c r="A1420" s="543"/>
      <c r="B1420" s="544"/>
      <c r="C1420" s="513">
        <v>13001000025</v>
      </c>
      <c r="D1420" s="545" t="s">
        <v>521</v>
      </c>
      <c r="E1420" s="514" t="s">
        <v>48</v>
      </c>
      <c r="F1420" s="546">
        <v>2.1000000000000001E-2</v>
      </c>
      <c r="G1420" s="547">
        <v>36.03</v>
      </c>
      <c r="H1420" s="548">
        <f>F1420*G1420</f>
        <v>0.75663000000000002</v>
      </c>
      <c r="I1420" s="547"/>
      <c r="J1420" s="549"/>
      <c r="K1420" s="548"/>
      <c r="L1420" s="547"/>
      <c r="M1420" s="549"/>
      <c r="N1420" s="550"/>
      <c r="O1420" s="551"/>
    </row>
    <row r="1421" spans="1:15" s="552" customFormat="1" ht="18.75" customHeight="1" x14ac:dyDescent="0.25">
      <c r="A1421" s="543"/>
      <c r="B1421" s="544"/>
      <c r="C1421" s="513">
        <v>13001000025</v>
      </c>
      <c r="D1421" s="545" t="s">
        <v>522</v>
      </c>
      <c r="E1421" s="514" t="s">
        <v>48</v>
      </c>
      <c r="F1421" s="546">
        <v>0.17</v>
      </c>
      <c r="G1421" s="547">
        <v>33.82</v>
      </c>
      <c r="H1421" s="548">
        <f>F1421*G1421</f>
        <v>5.7494000000000005</v>
      </c>
      <c r="I1421" s="547"/>
      <c r="J1421" s="549"/>
      <c r="K1421" s="548"/>
      <c r="L1421" s="547"/>
      <c r="M1421" s="549"/>
      <c r="N1421" s="550"/>
      <c r="O1421" s="551"/>
    </row>
    <row r="1422" spans="1:15" s="552" customFormat="1" ht="18.75" customHeight="1" x14ac:dyDescent="0.25">
      <c r="A1422" s="543"/>
      <c r="B1422" s="544"/>
      <c r="C1422" s="513">
        <v>16006000108</v>
      </c>
      <c r="D1422" s="545" t="s">
        <v>523</v>
      </c>
      <c r="E1422" s="514" t="s">
        <v>56</v>
      </c>
      <c r="F1422" s="546">
        <v>30.6</v>
      </c>
      <c r="G1422" s="547">
        <v>0.79</v>
      </c>
      <c r="H1422" s="548">
        <f>F1422*G1422</f>
        <v>24.174000000000003</v>
      </c>
      <c r="I1422" s="547"/>
      <c r="J1422" s="549"/>
      <c r="K1422" s="548"/>
      <c r="L1422" s="547"/>
      <c r="M1422" s="549"/>
      <c r="N1422" s="550"/>
      <c r="O1422" s="551"/>
    </row>
    <row r="1423" spans="1:15" s="167" customFormat="1" ht="11.25" x14ac:dyDescent="0.2">
      <c r="A1423" s="495"/>
      <c r="B1423" s="174"/>
      <c r="C1423" s="175"/>
      <c r="D1423" s="176"/>
      <c r="E1423" s="177"/>
      <c r="F1423" s="190"/>
      <c r="G1423" s="192"/>
      <c r="H1423" s="193"/>
      <c r="I1423" s="182"/>
      <c r="J1423" s="187"/>
      <c r="K1423" s="496"/>
      <c r="L1423" s="185"/>
      <c r="M1423" s="187"/>
      <c r="N1423" s="188"/>
      <c r="O1423" s="497"/>
    </row>
    <row r="1424" spans="1:15" s="23" customFormat="1" ht="22.5" x14ac:dyDescent="0.2">
      <c r="A1424" s="223" t="s">
        <v>39</v>
      </c>
      <c r="B1424" s="224" t="s">
        <v>939</v>
      </c>
      <c r="C1424" s="225" t="s">
        <v>991</v>
      </c>
      <c r="D1424" s="226" t="s">
        <v>1082</v>
      </c>
      <c r="E1424" s="225" t="s">
        <v>41</v>
      </c>
      <c r="F1424" s="515">
        <v>1</v>
      </c>
      <c r="G1424" s="228"/>
      <c r="H1424" s="229">
        <f>ROUND(SUM(H1425:H1436),2)</f>
        <v>3857.54</v>
      </c>
      <c r="I1424" s="230">
        <f>ROUND(SUM(I1425:I1436),2)</f>
        <v>1207.18</v>
      </c>
      <c r="J1424" s="231">
        <f>(H1424+I1424)</f>
        <v>5064.72</v>
      </c>
      <c r="K1424" s="229">
        <f>F1424*H1424</f>
        <v>3857.54</v>
      </c>
      <c r="L1424" s="230">
        <f>F1424*I1424</f>
        <v>1207.18</v>
      </c>
      <c r="M1424" s="231">
        <f>K1424+L1424</f>
        <v>5064.72</v>
      </c>
      <c r="N1424" s="227">
        <f>M1424*$N$7</f>
        <v>1371.5261760000001</v>
      </c>
      <c r="O1424" s="227">
        <f>M1424+N1424</f>
        <v>6436.2461760000006</v>
      </c>
    </row>
    <row r="1425" spans="1:15" s="552" customFormat="1" ht="18.75" customHeight="1" x14ac:dyDescent="0.25">
      <c r="A1425" s="543"/>
      <c r="B1425" s="544"/>
      <c r="C1425" s="513"/>
      <c r="D1425" s="545" t="s">
        <v>524</v>
      </c>
      <c r="E1425" s="514" t="s">
        <v>516</v>
      </c>
      <c r="F1425" s="546">
        <v>0.3</v>
      </c>
      <c r="G1425" s="547">
        <v>2372.7800000000002</v>
      </c>
      <c r="H1425" s="548">
        <f>F1425*G1425</f>
        <v>711.83400000000006</v>
      </c>
      <c r="I1425" s="547"/>
      <c r="J1425" s="549"/>
      <c r="K1425" s="548"/>
      <c r="L1425" s="547"/>
      <c r="M1425" s="549"/>
      <c r="N1425" s="550"/>
      <c r="O1425" s="551"/>
    </row>
    <row r="1426" spans="1:15" s="552" customFormat="1" ht="18.75" customHeight="1" x14ac:dyDescent="0.25">
      <c r="A1426" s="543"/>
      <c r="B1426" s="544" t="s">
        <v>658</v>
      </c>
      <c r="C1426" s="513">
        <v>246</v>
      </c>
      <c r="D1426" s="545" t="s">
        <v>766</v>
      </c>
      <c r="E1426" s="514" t="s">
        <v>42</v>
      </c>
      <c r="F1426" s="546">
        <v>26.1</v>
      </c>
      <c r="G1426" s="547">
        <v>9.4499999999999993</v>
      </c>
      <c r="H1426" s="548"/>
      <c r="I1426" s="547">
        <f>F1426*G1426</f>
        <v>246.64499999999998</v>
      </c>
      <c r="J1426" s="549"/>
      <c r="K1426" s="548"/>
      <c r="L1426" s="547"/>
      <c r="M1426" s="549"/>
      <c r="N1426" s="550"/>
      <c r="O1426" s="551"/>
    </row>
    <row r="1427" spans="1:15" s="552" customFormat="1" ht="18.75" customHeight="1" x14ac:dyDescent="0.25">
      <c r="A1427" s="543"/>
      <c r="B1427" s="544" t="s">
        <v>658</v>
      </c>
      <c r="C1427" s="513">
        <v>2696</v>
      </c>
      <c r="D1427" s="545" t="s">
        <v>767</v>
      </c>
      <c r="E1427" s="514" t="s">
        <v>42</v>
      </c>
      <c r="F1427" s="546">
        <v>26.1</v>
      </c>
      <c r="G1427" s="547">
        <v>12.57</v>
      </c>
      <c r="H1427" s="548"/>
      <c r="I1427" s="547">
        <f>F1427*G1427</f>
        <v>328.077</v>
      </c>
      <c r="J1427" s="549"/>
      <c r="K1427" s="548"/>
      <c r="L1427" s="547"/>
      <c r="M1427" s="549"/>
      <c r="N1427" s="550"/>
      <c r="O1427" s="551"/>
    </row>
    <row r="1428" spans="1:15" s="552" customFormat="1" ht="18.75" customHeight="1" x14ac:dyDescent="0.25">
      <c r="A1428" s="543"/>
      <c r="B1428" s="544" t="s">
        <v>658</v>
      </c>
      <c r="C1428" s="513">
        <v>247</v>
      </c>
      <c r="D1428" s="545" t="s">
        <v>768</v>
      </c>
      <c r="E1428" s="514" t="s">
        <v>42</v>
      </c>
      <c r="F1428" s="546">
        <v>9.9</v>
      </c>
      <c r="G1428" s="547">
        <v>9.65</v>
      </c>
      <c r="H1428" s="548"/>
      <c r="I1428" s="547">
        <f t="shared" ref="I1428:I1429" si="188">F1428*G1428</f>
        <v>95.535000000000011</v>
      </c>
      <c r="J1428" s="549"/>
      <c r="K1428" s="548"/>
      <c r="L1428" s="547"/>
      <c r="M1428" s="549"/>
      <c r="N1428" s="550"/>
      <c r="O1428" s="551"/>
    </row>
    <row r="1429" spans="1:15" s="552" customFormat="1" ht="18.75" customHeight="1" x14ac:dyDescent="0.25">
      <c r="A1429" s="543"/>
      <c r="B1429" s="544" t="s">
        <v>658</v>
      </c>
      <c r="C1429" s="513">
        <v>2436</v>
      </c>
      <c r="D1429" s="545" t="s">
        <v>239</v>
      </c>
      <c r="E1429" s="514" t="s">
        <v>42</v>
      </c>
      <c r="F1429" s="546">
        <v>9.9</v>
      </c>
      <c r="G1429" s="547">
        <v>12.57</v>
      </c>
      <c r="H1429" s="548"/>
      <c r="I1429" s="547">
        <f t="shared" si="188"/>
        <v>124.44300000000001</v>
      </c>
      <c r="J1429" s="549"/>
      <c r="K1429" s="548"/>
      <c r="L1429" s="547"/>
      <c r="M1429" s="549"/>
      <c r="N1429" s="550"/>
      <c r="O1429" s="551"/>
    </row>
    <row r="1430" spans="1:15" s="552" customFormat="1" ht="15" customHeight="1" x14ac:dyDescent="0.25">
      <c r="A1430" s="543"/>
      <c r="B1430" s="544" t="s">
        <v>658</v>
      </c>
      <c r="C1430" s="513">
        <v>2700</v>
      </c>
      <c r="D1430" s="545" t="s">
        <v>671</v>
      </c>
      <c r="E1430" s="514" t="s">
        <v>42</v>
      </c>
      <c r="F1430" s="546">
        <v>16</v>
      </c>
      <c r="G1430" s="547">
        <v>16.86</v>
      </c>
      <c r="H1430" s="548"/>
      <c r="I1430" s="547">
        <f>F1430*G1430</f>
        <v>269.76</v>
      </c>
      <c r="J1430" s="549"/>
      <c r="K1430" s="548"/>
      <c r="L1430" s="547"/>
      <c r="M1430" s="549"/>
      <c r="N1430" s="550"/>
      <c r="O1430" s="551"/>
    </row>
    <row r="1431" spans="1:15" s="552" customFormat="1" ht="15" customHeight="1" x14ac:dyDescent="0.25">
      <c r="A1431" s="543"/>
      <c r="B1431" s="544" t="s">
        <v>658</v>
      </c>
      <c r="C1431" s="513">
        <v>6111</v>
      </c>
      <c r="D1431" s="545" t="s">
        <v>670</v>
      </c>
      <c r="E1431" s="514" t="s">
        <v>42</v>
      </c>
      <c r="F1431" s="546">
        <v>16</v>
      </c>
      <c r="G1431" s="547">
        <v>8.92</v>
      </c>
      <c r="H1431" s="548"/>
      <c r="I1431" s="547">
        <f t="shared" ref="I1431" si="189">F1431*G1431</f>
        <v>142.72</v>
      </c>
      <c r="J1431" s="549"/>
      <c r="K1431" s="548"/>
      <c r="L1431" s="547"/>
      <c r="M1431" s="549"/>
      <c r="N1431" s="550"/>
      <c r="O1431" s="551"/>
    </row>
    <row r="1432" spans="1:15" s="552" customFormat="1" ht="18.75" customHeight="1" x14ac:dyDescent="0.25">
      <c r="A1432" s="543"/>
      <c r="B1432" s="544"/>
      <c r="C1432" s="513" t="s">
        <v>517</v>
      </c>
      <c r="D1432" s="545" t="s">
        <v>518</v>
      </c>
      <c r="E1432" s="514" t="s">
        <v>56</v>
      </c>
      <c r="F1432" s="546">
        <v>51</v>
      </c>
      <c r="G1432" s="547">
        <v>18.97</v>
      </c>
      <c r="H1432" s="548">
        <f>F1432*G1432</f>
        <v>967.46999999999991</v>
      </c>
      <c r="I1432" s="547"/>
      <c r="J1432" s="549"/>
      <c r="K1432" s="548"/>
      <c r="L1432" s="547"/>
      <c r="M1432" s="549"/>
      <c r="N1432" s="550"/>
      <c r="O1432" s="551"/>
    </row>
    <row r="1433" spans="1:15" s="552" customFormat="1" ht="18.75" customHeight="1" x14ac:dyDescent="0.25">
      <c r="A1433" s="543"/>
      <c r="B1433" s="544"/>
      <c r="C1433" s="513" t="s">
        <v>519</v>
      </c>
      <c r="D1433" s="545" t="s">
        <v>520</v>
      </c>
      <c r="E1433" s="514" t="s">
        <v>56</v>
      </c>
      <c r="F1433" s="546">
        <v>45</v>
      </c>
      <c r="G1433" s="547">
        <v>46.36</v>
      </c>
      <c r="H1433" s="548">
        <f>F1433*G1433</f>
        <v>2086.1999999999998</v>
      </c>
      <c r="I1433" s="547"/>
      <c r="J1433" s="549"/>
      <c r="K1433" s="548"/>
      <c r="L1433" s="547"/>
      <c r="M1433" s="549"/>
      <c r="N1433" s="550"/>
      <c r="O1433" s="551"/>
    </row>
    <row r="1434" spans="1:15" s="552" customFormat="1" ht="18.75" customHeight="1" x14ac:dyDescent="0.25">
      <c r="A1434" s="543"/>
      <c r="B1434" s="544"/>
      <c r="C1434" s="513">
        <v>13001000025</v>
      </c>
      <c r="D1434" s="545" t="s">
        <v>521</v>
      </c>
      <c r="E1434" s="514" t="s">
        <v>48</v>
      </c>
      <c r="F1434" s="546">
        <v>6.3E-2</v>
      </c>
      <c r="G1434" s="547">
        <v>36.03</v>
      </c>
      <c r="H1434" s="548">
        <f>F1434*G1434</f>
        <v>2.2698900000000002</v>
      </c>
      <c r="I1434" s="547"/>
      <c r="J1434" s="549"/>
      <c r="K1434" s="548"/>
      <c r="L1434" s="547"/>
      <c r="M1434" s="549"/>
      <c r="N1434" s="550"/>
      <c r="O1434" s="551"/>
    </row>
    <row r="1435" spans="1:15" s="552" customFormat="1" ht="18.75" customHeight="1" x14ac:dyDescent="0.25">
      <c r="A1435" s="543"/>
      <c r="B1435" s="544"/>
      <c r="C1435" s="513">
        <v>13001000025</v>
      </c>
      <c r="D1435" s="545" t="s">
        <v>522</v>
      </c>
      <c r="E1435" s="514" t="s">
        <v>48</v>
      </c>
      <c r="F1435" s="546">
        <v>0.51</v>
      </c>
      <c r="G1435" s="547">
        <v>33.82</v>
      </c>
      <c r="H1435" s="548">
        <f>F1435*G1435</f>
        <v>17.248200000000001</v>
      </c>
      <c r="I1435" s="547"/>
      <c r="J1435" s="549"/>
      <c r="K1435" s="548"/>
      <c r="L1435" s="547"/>
      <c r="M1435" s="549"/>
      <c r="N1435" s="550"/>
      <c r="O1435" s="551"/>
    </row>
    <row r="1436" spans="1:15" s="552" customFormat="1" ht="18.75" customHeight="1" x14ac:dyDescent="0.25">
      <c r="A1436" s="543"/>
      <c r="B1436" s="544"/>
      <c r="C1436" s="513">
        <v>16006000108</v>
      </c>
      <c r="D1436" s="545" t="s">
        <v>523</v>
      </c>
      <c r="E1436" s="514" t="s">
        <v>56</v>
      </c>
      <c r="F1436" s="546">
        <v>91.8</v>
      </c>
      <c r="G1436" s="547">
        <v>0.79</v>
      </c>
      <c r="H1436" s="548">
        <f>F1436*G1436</f>
        <v>72.522000000000006</v>
      </c>
      <c r="I1436" s="547"/>
      <c r="J1436" s="549"/>
      <c r="K1436" s="548"/>
      <c r="L1436" s="547"/>
      <c r="M1436" s="549"/>
      <c r="N1436" s="550"/>
      <c r="O1436" s="551"/>
    </row>
    <row r="1437" spans="1:15" s="167" customFormat="1" ht="11.25" x14ac:dyDescent="0.2">
      <c r="A1437" s="495"/>
      <c r="B1437" s="174"/>
      <c r="C1437" s="175"/>
      <c r="D1437" s="176"/>
      <c r="E1437" s="177"/>
      <c r="F1437" s="190"/>
      <c r="G1437" s="192"/>
      <c r="H1437" s="193"/>
      <c r="I1437" s="182"/>
      <c r="J1437" s="187"/>
      <c r="K1437" s="496"/>
      <c r="L1437" s="185"/>
      <c r="M1437" s="187"/>
      <c r="N1437" s="188"/>
      <c r="O1437" s="497"/>
    </row>
    <row r="1438" spans="1:15" s="167" customFormat="1" ht="11.25" x14ac:dyDescent="0.2">
      <c r="A1438" s="488"/>
      <c r="B1438" s="120"/>
      <c r="C1438" s="122"/>
      <c r="D1438" s="124" t="s">
        <v>525</v>
      </c>
      <c r="E1438" s="122"/>
      <c r="F1438" s="489"/>
      <c r="G1438" s="490"/>
      <c r="H1438" s="491"/>
      <c r="I1438" s="492"/>
      <c r="J1438" s="493"/>
      <c r="K1438" s="491"/>
      <c r="L1438" s="492"/>
      <c r="M1438" s="493"/>
      <c r="N1438" s="489"/>
      <c r="O1438" s="494"/>
    </row>
    <row r="1439" spans="1:15" s="23" customFormat="1" ht="22.5" x14ac:dyDescent="0.2">
      <c r="A1439" s="223"/>
      <c r="B1439" s="224" t="s">
        <v>28</v>
      </c>
      <c r="C1439" s="225" t="s">
        <v>992</v>
      </c>
      <c r="D1439" s="226" t="s">
        <v>1083</v>
      </c>
      <c r="E1439" s="225" t="s">
        <v>41</v>
      </c>
      <c r="F1439" s="515">
        <v>1</v>
      </c>
      <c r="G1439" s="228"/>
      <c r="H1439" s="229">
        <f>ROUND(SUM(H1440),2)</f>
        <v>3099</v>
      </c>
      <c r="I1439" s="229">
        <f>ROUND(SUM(I1440),2)</f>
        <v>0</v>
      </c>
      <c r="J1439" s="231">
        <f>(H1439+I1439)</f>
        <v>3099</v>
      </c>
      <c r="K1439" s="229">
        <f>F1439*H1439</f>
        <v>3099</v>
      </c>
      <c r="L1439" s="230">
        <f>F1439*I1439</f>
        <v>0</v>
      </c>
      <c r="M1439" s="231">
        <f>K1439+L1439</f>
        <v>3099</v>
      </c>
      <c r="N1439" s="227">
        <f>M1439*N550</f>
        <v>0</v>
      </c>
      <c r="O1439" s="227">
        <f>M1439+N1439</f>
        <v>3099</v>
      </c>
    </row>
    <row r="1440" spans="1:15" s="552" customFormat="1" ht="18.75" customHeight="1" x14ac:dyDescent="0.25">
      <c r="A1440" s="570" t="s">
        <v>526</v>
      </c>
      <c r="B1440" s="544"/>
      <c r="C1440" s="513"/>
      <c r="D1440" s="545" t="str">
        <f>D1439</f>
        <v xml:space="preserve">CONDICIONADOR de ar tipo Split, 18.000 Btu/h -SISTEMA INVERTER -  referência: FUJITSU ou similar  - quente/frio </v>
      </c>
      <c r="E1440" s="514" t="s">
        <v>41</v>
      </c>
      <c r="F1440" s="546">
        <v>1</v>
      </c>
      <c r="G1440" s="547">
        <v>3099</v>
      </c>
      <c r="H1440" s="548">
        <f>G1440*F1440</f>
        <v>3099</v>
      </c>
      <c r="I1440" s="547"/>
      <c r="J1440" s="549"/>
      <c r="K1440" s="548"/>
      <c r="L1440" s="547"/>
      <c r="M1440" s="549"/>
      <c r="N1440" s="550"/>
      <c r="O1440" s="551"/>
    </row>
    <row r="1441" spans="1:15" s="167" customFormat="1" ht="11.25" x14ac:dyDescent="0.2">
      <c r="A1441" s="168"/>
      <c r="B1441" s="128"/>
      <c r="C1441" s="498"/>
      <c r="D1441" s="123"/>
      <c r="E1441" s="32"/>
      <c r="F1441" s="481"/>
      <c r="G1441" s="482"/>
      <c r="H1441" s="487"/>
      <c r="I1441" s="482"/>
      <c r="J1441" s="486"/>
      <c r="K1441" s="487"/>
      <c r="L1441" s="482"/>
      <c r="M1441" s="486"/>
      <c r="N1441" s="91"/>
      <c r="O1441" s="180"/>
    </row>
    <row r="1442" spans="1:15" s="23" customFormat="1" ht="22.5" x14ac:dyDescent="0.2">
      <c r="A1442" s="223"/>
      <c r="B1442" s="224" t="s">
        <v>28</v>
      </c>
      <c r="C1442" s="225" t="s">
        <v>993</v>
      </c>
      <c r="D1442" s="226" t="s">
        <v>1307</v>
      </c>
      <c r="E1442" s="225" t="s">
        <v>41</v>
      </c>
      <c r="F1442" s="515">
        <v>1</v>
      </c>
      <c r="G1442" s="228"/>
      <c r="H1442" s="229">
        <f>ROUND(SUM(H1443),2)</f>
        <v>6453</v>
      </c>
      <c r="I1442" s="229">
        <f>ROUND(SUM(I1443),2)</f>
        <v>0</v>
      </c>
      <c r="J1442" s="231">
        <f>(H1442+I1442)</f>
        <v>6453</v>
      </c>
      <c r="K1442" s="229">
        <f>F1442*H1442</f>
        <v>6453</v>
      </c>
      <c r="L1442" s="230">
        <f>F1442*I1442</f>
        <v>0</v>
      </c>
      <c r="M1442" s="231">
        <f>K1442+L1442</f>
        <v>6453</v>
      </c>
      <c r="N1442" s="227">
        <f>M1442*N553</f>
        <v>0</v>
      </c>
      <c r="O1442" s="227">
        <f>M1442+N1442</f>
        <v>6453</v>
      </c>
    </row>
    <row r="1443" spans="1:15" s="552" customFormat="1" ht="25.5" customHeight="1" x14ac:dyDescent="0.25">
      <c r="A1443" s="570" t="s">
        <v>526</v>
      </c>
      <c r="B1443" s="544"/>
      <c r="C1443" s="513"/>
      <c r="D1443" s="545" t="str">
        <f>D1442</f>
        <v xml:space="preserve">CONDICIONADOR de ar tipo Split, 29.000 Btu/h -SISTEMA INVERTER -  referência: FUJITSU ou similar  - quente/frio </v>
      </c>
      <c r="E1443" s="514" t="s">
        <v>41</v>
      </c>
      <c r="F1443" s="546">
        <v>1</v>
      </c>
      <c r="G1443" s="547">
        <v>6453</v>
      </c>
      <c r="H1443" s="548">
        <f>G1443*F1443</f>
        <v>6453</v>
      </c>
      <c r="I1443" s="547"/>
      <c r="J1443" s="549"/>
      <c r="K1443" s="548"/>
      <c r="L1443" s="547"/>
      <c r="M1443" s="549"/>
      <c r="N1443" s="550"/>
      <c r="O1443" s="551"/>
    </row>
    <row r="1444" spans="1:15" s="167" customFormat="1" ht="11.25" x14ac:dyDescent="0.2">
      <c r="A1444" s="168"/>
      <c r="B1444" s="128"/>
      <c r="C1444" s="498"/>
      <c r="D1444" s="123"/>
      <c r="E1444" s="32"/>
      <c r="F1444" s="481"/>
      <c r="G1444" s="482"/>
      <c r="H1444" s="487"/>
      <c r="I1444" s="482"/>
      <c r="J1444" s="486"/>
      <c r="K1444" s="487"/>
      <c r="L1444" s="482"/>
      <c r="M1444" s="486"/>
      <c r="N1444" s="91"/>
      <c r="O1444" s="180"/>
    </row>
    <row r="1445" spans="1:15" s="167" customFormat="1" ht="11.25" x14ac:dyDescent="0.2">
      <c r="A1445" s="168"/>
      <c r="B1445" s="128"/>
      <c r="C1445" s="498"/>
      <c r="D1445" s="123"/>
      <c r="E1445" s="32"/>
      <c r="F1445" s="481"/>
      <c r="G1445" s="482"/>
      <c r="H1445" s="487"/>
      <c r="I1445" s="482"/>
      <c r="J1445" s="486"/>
      <c r="K1445" s="487"/>
      <c r="L1445" s="482"/>
      <c r="M1445" s="486"/>
      <c r="N1445" s="91"/>
      <c r="O1445" s="180"/>
    </row>
    <row r="1446" spans="1:15" s="266" customFormat="1" ht="12.75" x14ac:dyDescent="0.2">
      <c r="A1446" s="516"/>
      <c r="B1446" s="517"/>
      <c r="C1446" s="518" t="s">
        <v>994</v>
      </c>
      <c r="D1446" s="519" t="s">
        <v>221</v>
      </c>
      <c r="E1446" s="520"/>
      <c r="F1446" s="519"/>
      <c r="G1446" s="520"/>
      <c r="H1446" s="521"/>
      <c r="I1446" s="522"/>
      <c r="J1446" s="523"/>
      <c r="K1446" s="521"/>
      <c r="L1446" s="522"/>
      <c r="M1446" s="523"/>
      <c r="N1446" s="524"/>
      <c r="O1446" s="525">
        <f>SUM(O1448:O1451)</f>
        <v>27.296784000000002</v>
      </c>
    </row>
    <row r="1447" spans="1:15" x14ac:dyDescent="0.25">
      <c r="A1447" s="137"/>
      <c r="B1447" s="127"/>
      <c r="C1447" s="9"/>
      <c r="D1447" s="125" t="s">
        <v>83</v>
      </c>
      <c r="E1447" s="4"/>
      <c r="F1447" s="121"/>
      <c r="G1447" s="5"/>
      <c r="H1447" s="114"/>
      <c r="I1447" s="5"/>
      <c r="J1447" s="115"/>
      <c r="K1447" s="114"/>
      <c r="L1447" s="5"/>
      <c r="M1447" s="115"/>
      <c r="N1447" s="96"/>
      <c r="O1447" s="96"/>
    </row>
    <row r="1448" spans="1:15" s="23" customFormat="1" ht="22.5" x14ac:dyDescent="0.2">
      <c r="A1448" s="223"/>
      <c r="B1448" s="224" t="s">
        <v>222</v>
      </c>
      <c r="C1448" s="225" t="s">
        <v>995</v>
      </c>
      <c r="D1448" s="226" t="s">
        <v>223</v>
      </c>
      <c r="E1448" s="225" t="s">
        <v>41</v>
      </c>
      <c r="F1448" s="515">
        <v>4</v>
      </c>
      <c r="G1448" s="228"/>
      <c r="H1448" s="230">
        <f>ROUND(SUM(H1449:H1450),2)</f>
        <v>0</v>
      </c>
      <c r="I1448" s="230">
        <f>ROUND(SUM(I1449:I1450),2)</f>
        <v>5.37</v>
      </c>
      <c r="J1448" s="231">
        <f>(H1448+I1448)</f>
        <v>5.37</v>
      </c>
      <c r="K1448" s="229">
        <f>F1448*H1448</f>
        <v>0</v>
      </c>
      <c r="L1448" s="230">
        <f>F1448*I1448</f>
        <v>21.48</v>
      </c>
      <c r="M1448" s="231">
        <f>K1448+L1448</f>
        <v>21.48</v>
      </c>
      <c r="N1448" s="227">
        <f>M1448*$N$7</f>
        <v>5.8167840000000002</v>
      </c>
      <c r="O1448" s="227">
        <f>M1448+N1448</f>
        <v>27.296784000000002</v>
      </c>
    </row>
    <row r="1449" spans="1:15" s="552" customFormat="1" ht="15" customHeight="1" x14ac:dyDescent="0.25">
      <c r="A1449" s="543"/>
      <c r="B1449" s="544" t="s">
        <v>715</v>
      </c>
      <c r="C1449" s="513">
        <v>4750</v>
      </c>
      <c r="D1449" s="545" t="s">
        <v>714</v>
      </c>
      <c r="E1449" s="514" t="s">
        <v>42</v>
      </c>
      <c r="F1449" s="546">
        <v>0.25</v>
      </c>
      <c r="G1449" s="547">
        <v>12.57</v>
      </c>
      <c r="H1449" s="548"/>
      <c r="I1449" s="547">
        <f t="shared" ref="I1449:I1450" si="190">F1449*G1449</f>
        <v>3.1425000000000001</v>
      </c>
      <c r="J1449" s="549"/>
      <c r="K1449" s="548"/>
      <c r="L1449" s="547"/>
      <c r="M1449" s="549"/>
      <c r="N1449" s="550"/>
      <c r="O1449" s="551"/>
    </row>
    <row r="1450" spans="1:15" s="552" customFormat="1" ht="15" customHeight="1" x14ac:dyDescent="0.25">
      <c r="A1450" s="543"/>
      <c r="B1450" s="544" t="s">
        <v>658</v>
      </c>
      <c r="C1450" s="513">
        <v>6111</v>
      </c>
      <c r="D1450" s="545" t="s">
        <v>670</v>
      </c>
      <c r="E1450" s="514" t="s">
        <v>42</v>
      </c>
      <c r="F1450" s="546">
        <v>0.25</v>
      </c>
      <c r="G1450" s="547">
        <v>8.92</v>
      </c>
      <c r="H1450" s="548"/>
      <c r="I1450" s="547">
        <f t="shared" si="190"/>
        <v>2.23</v>
      </c>
      <c r="J1450" s="549"/>
      <c r="K1450" s="548"/>
      <c r="L1450" s="547"/>
      <c r="M1450" s="549"/>
      <c r="N1450" s="550"/>
      <c r="O1450" s="551"/>
    </row>
    <row r="1451" spans="1:15" s="179" customFormat="1" ht="11.25" x14ac:dyDescent="0.25">
      <c r="A1451" s="173"/>
      <c r="B1451" s="174"/>
      <c r="C1451" s="175"/>
      <c r="D1451" s="176"/>
      <c r="E1451" s="177"/>
      <c r="F1451" s="178"/>
      <c r="G1451" s="33"/>
      <c r="H1451" s="108"/>
      <c r="I1451" s="33"/>
      <c r="J1451" s="109"/>
      <c r="K1451" s="108"/>
      <c r="L1451" s="33"/>
      <c r="M1451" s="109"/>
      <c r="N1451" s="92"/>
      <c r="O1451" s="222"/>
    </row>
    <row r="1452" spans="1:15" s="23" customFormat="1" ht="15.75" x14ac:dyDescent="0.2">
      <c r="A1452" s="149"/>
      <c r="B1452" s="150"/>
      <c r="C1452" s="511">
        <v>7</v>
      </c>
      <c r="D1452" s="151" t="s">
        <v>613</v>
      </c>
      <c r="E1452" s="152"/>
      <c r="F1452" s="151"/>
      <c r="G1452" s="152"/>
      <c r="H1452" s="153"/>
      <c r="I1452" s="154"/>
      <c r="J1452" s="155"/>
      <c r="K1452" s="153"/>
      <c r="L1452" s="154"/>
      <c r="M1452" s="155"/>
      <c r="N1452" s="156"/>
      <c r="O1452" s="157">
        <f>SUM(O1454:O1640)/2</f>
        <v>9486.1263491280006</v>
      </c>
    </row>
    <row r="1453" spans="1:15" s="23" customFormat="1" ht="14.25" x14ac:dyDescent="0.2">
      <c r="A1453" s="134"/>
      <c r="B1453" s="129"/>
      <c r="C1453" s="29"/>
      <c r="D1453" s="117"/>
      <c r="E1453" s="30"/>
      <c r="F1453" s="118"/>
      <c r="G1453" s="31"/>
      <c r="H1453" s="104"/>
      <c r="I1453" s="27"/>
      <c r="J1453" s="105"/>
      <c r="K1453" s="104"/>
      <c r="L1453" s="27"/>
      <c r="M1453" s="105"/>
      <c r="N1453" s="93"/>
      <c r="O1453" s="93"/>
    </row>
    <row r="1454" spans="1:15" s="266" customFormat="1" ht="12.75" x14ac:dyDescent="0.2">
      <c r="A1454" s="516"/>
      <c r="B1454" s="517"/>
      <c r="C1454" s="518" t="s">
        <v>581</v>
      </c>
      <c r="D1454" s="519" t="s">
        <v>626</v>
      </c>
      <c r="E1454" s="520"/>
      <c r="F1454" s="519"/>
      <c r="G1454" s="520"/>
      <c r="H1454" s="521"/>
      <c r="I1454" s="522"/>
      <c r="J1454" s="523"/>
      <c r="K1454" s="521"/>
      <c r="L1454" s="522"/>
      <c r="M1454" s="523"/>
      <c r="N1454" s="524"/>
      <c r="O1454" s="525">
        <f>SUM(O1456:O1458)</f>
        <v>1022.256936</v>
      </c>
    </row>
    <row r="1455" spans="1:15" s="23" customFormat="1" ht="14.25" x14ac:dyDescent="0.2">
      <c r="A1455" s="134"/>
      <c r="B1455" s="130"/>
      <c r="C1455" s="34"/>
      <c r="D1455" s="117" t="s">
        <v>83</v>
      </c>
      <c r="E1455" s="30"/>
      <c r="F1455" s="118"/>
      <c r="G1455" s="31"/>
      <c r="H1455" s="104"/>
      <c r="I1455" s="27"/>
      <c r="J1455" s="105"/>
      <c r="K1455" s="104"/>
      <c r="L1455" s="27"/>
      <c r="M1455" s="105"/>
      <c r="N1455" s="91"/>
      <c r="O1455" s="91"/>
    </row>
    <row r="1456" spans="1:15" s="23" customFormat="1" ht="22.5" x14ac:dyDescent="0.2">
      <c r="A1456" s="223"/>
      <c r="B1456" s="224" t="s">
        <v>628</v>
      </c>
      <c r="C1456" s="225" t="s">
        <v>582</v>
      </c>
      <c r="D1456" s="232" t="s">
        <v>627</v>
      </c>
      <c r="E1456" s="225" t="s">
        <v>81</v>
      </c>
      <c r="F1456" s="515">
        <v>1</v>
      </c>
      <c r="G1456" s="228"/>
      <c r="H1456" s="229">
        <f>ROUND(SUM(H1457:H1457),2)</f>
        <v>0</v>
      </c>
      <c r="I1456" s="230">
        <f>ROUND(SUM(I1457:I1457),2)</f>
        <v>804.42</v>
      </c>
      <c r="J1456" s="231">
        <f>(H1456+I1456)</f>
        <v>804.42</v>
      </c>
      <c r="K1456" s="229">
        <f>F1456*H1456</f>
        <v>0</v>
      </c>
      <c r="L1456" s="230">
        <f>F1456*I1456</f>
        <v>804.42</v>
      </c>
      <c r="M1456" s="231">
        <f>K1456+L1456</f>
        <v>804.42</v>
      </c>
      <c r="N1456" s="227">
        <f>M1456*$N$7</f>
        <v>217.83693599999998</v>
      </c>
      <c r="O1456" s="227">
        <f>M1456+N1456</f>
        <v>1022.256936</v>
      </c>
    </row>
    <row r="1457" spans="1:15" s="552" customFormat="1" ht="15" customHeight="1" x14ac:dyDescent="0.25">
      <c r="A1457" s="543"/>
      <c r="B1457" s="544"/>
      <c r="C1457" s="513">
        <v>2706</v>
      </c>
      <c r="D1457" s="545" t="s">
        <v>629</v>
      </c>
      <c r="E1457" s="514" t="s">
        <v>81</v>
      </c>
      <c r="F1457" s="546">
        <v>18</v>
      </c>
      <c r="G1457" s="547">
        <v>44.69</v>
      </c>
      <c r="H1457" s="548"/>
      <c r="I1457" s="547">
        <f>F1457*G1457</f>
        <v>804.42</v>
      </c>
      <c r="J1457" s="549"/>
      <c r="K1457" s="548"/>
      <c r="L1457" s="547"/>
      <c r="M1457" s="549"/>
      <c r="N1457" s="550"/>
      <c r="O1457" s="551"/>
    </row>
    <row r="1458" spans="1:15" s="167" customFormat="1" ht="11.25" x14ac:dyDescent="0.2">
      <c r="A1458" s="170"/>
      <c r="B1458" s="129"/>
      <c r="C1458" s="29"/>
      <c r="D1458" s="117" t="s">
        <v>83</v>
      </c>
      <c r="E1458" s="30"/>
      <c r="F1458" s="476"/>
      <c r="G1458" s="477"/>
      <c r="H1458" s="478"/>
      <c r="I1458" s="479"/>
      <c r="J1458" s="480"/>
      <c r="K1458" s="478"/>
      <c r="L1458" s="479"/>
      <c r="M1458" s="480"/>
      <c r="N1458" s="93"/>
      <c r="O1458" s="206"/>
    </row>
    <row r="1459" spans="1:15" s="266" customFormat="1" ht="12.75" x14ac:dyDescent="0.2">
      <c r="A1459" s="516"/>
      <c r="B1459" s="517"/>
      <c r="C1459" s="518" t="s">
        <v>583</v>
      </c>
      <c r="D1459" s="519" t="s">
        <v>167</v>
      </c>
      <c r="E1459" s="520"/>
      <c r="F1459" s="519"/>
      <c r="G1459" s="520"/>
      <c r="H1459" s="521"/>
      <c r="I1459" s="522"/>
      <c r="J1459" s="523"/>
      <c r="K1459" s="521"/>
      <c r="L1459" s="522"/>
      <c r="M1459" s="523"/>
      <c r="N1459" s="524"/>
      <c r="O1459" s="525">
        <f>SUM(O1461:O1463)</f>
        <v>166.77979200000001</v>
      </c>
    </row>
    <row r="1460" spans="1:15" s="23" customFormat="1" ht="14.25" x14ac:dyDescent="0.2">
      <c r="A1460" s="134"/>
      <c r="B1460" s="130"/>
      <c r="C1460" s="34"/>
      <c r="D1460" s="117" t="s">
        <v>83</v>
      </c>
      <c r="E1460" s="30"/>
      <c r="F1460" s="118"/>
      <c r="G1460" s="31"/>
      <c r="H1460" s="104"/>
      <c r="I1460" s="27"/>
      <c r="J1460" s="105"/>
      <c r="K1460" s="104"/>
      <c r="L1460" s="27"/>
      <c r="M1460" s="105"/>
      <c r="N1460" s="91"/>
      <c r="O1460" s="91"/>
    </row>
    <row r="1461" spans="1:15" s="23" customFormat="1" ht="22.5" x14ac:dyDescent="0.2">
      <c r="A1461" s="223" t="s">
        <v>79</v>
      </c>
      <c r="B1461" s="224" t="s">
        <v>496</v>
      </c>
      <c r="C1461" s="225" t="s">
        <v>584</v>
      </c>
      <c r="D1461" s="226" t="s">
        <v>497</v>
      </c>
      <c r="E1461" s="225" t="s">
        <v>81</v>
      </c>
      <c r="F1461" s="515">
        <f>'MEMÓRIA DE CÁLCULO'!D273</f>
        <v>2</v>
      </c>
      <c r="G1461" s="228"/>
      <c r="H1461" s="229">
        <f>ROUND(SUM(H1462:H1462),2)</f>
        <v>0</v>
      </c>
      <c r="I1461" s="230">
        <f>ROUND(SUM(I1462:I1462),2)</f>
        <v>65.62</v>
      </c>
      <c r="J1461" s="231">
        <f>(H1461+I1461)</f>
        <v>65.62</v>
      </c>
      <c r="K1461" s="229">
        <f>F1461*H1461</f>
        <v>0</v>
      </c>
      <c r="L1461" s="230">
        <f>F1461*I1461</f>
        <v>131.24</v>
      </c>
      <c r="M1461" s="231">
        <f>K1461+L1461</f>
        <v>131.24</v>
      </c>
      <c r="N1461" s="227">
        <f>M1461*$N$7</f>
        <v>35.539791999999998</v>
      </c>
      <c r="O1461" s="227">
        <f>M1461+N1461</f>
        <v>166.77979200000001</v>
      </c>
    </row>
    <row r="1462" spans="1:15" s="552" customFormat="1" ht="15" customHeight="1" x14ac:dyDescent="0.25">
      <c r="A1462" s="543"/>
      <c r="B1462" s="544"/>
      <c r="C1462" s="513"/>
      <c r="D1462" s="545" t="str">
        <f>D1461</f>
        <v>Furo em concreto com coroas diamantadas, utilizando perfuratriz elétrica Ø 5" a 5 1/4" profundidade 40 cm</v>
      </c>
      <c r="E1462" s="514" t="s">
        <v>81</v>
      </c>
      <c r="F1462" s="546">
        <v>1</v>
      </c>
      <c r="G1462" s="547">
        <v>65.62</v>
      </c>
      <c r="H1462" s="548"/>
      <c r="I1462" s="547">
        <f>F1462*G1462</f>
        <v>65.62</v>
      </c>
      <c r="J1462" s="549"/>
      <c r="K1462" s="548"/>
      <c r="L1462" s="547"/>
      <c r="M1462" s="549"/>
      <c r="N1462" s="550"/>
      <c r="O1462" s="551"/>
    </row>
    <row r="1463" spans="1:15" s="167" customFormat="1" ht="11.25" x14ac:dyDescent="0.2">
      <c r="A1463" s="170"/>
      <c r="B1463" s="129"/>
      <c r="C1463" s="29"/>
      <c r="D1463" s="117" t="s">
        <v>83</v>
      </c>
      <c r="E1463" s="30"/>
      <c r="F1463" s="476"/>
      <c r="G1463" s="477"/>
      <c r="H1463" s="478"/>
      <c r="I1463" s="479"/>
      <c r="J1463" s="480"/>
      <c r="K1463" s="478"/>
      <c r="L1463" s="479"/>
      <c r="M1463" s="480"/>
      <c r="N1463" s="93"/>
      <c r="O1463" s="206"/>
    </row>
    <row r="1464" spans="1:15" s="266" customFormat="1" ht="12.75" x14ac:dyDescent="0.2">
      <c r="A1464" s="516"/>
      <c r="B1464" s="517"/>
      <c r="C1464" s="518" t="s">
        <v>630</v>
      </c>
      <c r="D1464" s="519" t="s">
        <v>100</v>
      </c>
      <c r="E1464" s="520"/>
      <c r="F1464" s="519"/>
      <c r="G1464" s="520"/>
      <c r="H1464" s="521"/>
      <c r="I1464" s="522"/>
      <c r="J1464" s="523"/>
      <c r="K1464" s="521"/>
      <c r="L1464" s="522"/>
      <c r="M1464" s="523"/>
      <c r="N1464" s="524"/>
      <c r="O1464" s="525">
        <f>SUM(O1468:O1562)</f>
        <v>946.79411248799977</v>
      </c>
    </row>
    <row r="1465" spans="1:15" s="23" customFormat="1" ht="14.25" x14ac:dyDescent="0.2">
      <c r="A1465" s="134"/>
      <c r="B1465" s="129"/>
      <c r="C1465" s="29"/>
      <c r="D1465" s="117" t="s">
        <v>83</v>
      </c>
      <c r="E1465" s="30"/>
      <c r="F1465" s="118"/>
      <c r="G1465" s="31"/>
      <c r="H1465" s="104"/>
      <c r="I1465" s="27"/>
      <c r="J1465" s="105"/>
      <c r="K1465" s="104"/>
      <c r="L1465" s="27"/>
      <c r="M1465" s="105"/>
      <c r="N1465" s="92"/>
      <c r="O1465" s="92"/>
    </row>
    <row r="1466" spans="1:15" s="23" customFormat="1" ht="14.25" x14ac:dyDescent="0.2">
      <c r="A1466" s="135"/>
      <c r="B1466" s="120"/>
      <c r="C1466" s="122"/>
      <c r="D1466" s="124" t="s">
        <v>614</v>
      </c>
      <c r="E1466" s="122"/>
      <c r="F1466" s="90"/>
      <c r="G1466" s="116"/>
      <c r="H1466" s="102"/>
      <c r="I1466" s="35"/>
      <c r="J1466" s="103"/>
      <c r="K1466" s="102"/>
      <c r="L1466" s="35"/>
      <c r="M1466" s="103"/>
      <c r="N1466" s="90"/>
      <c r="O1466" s="90"/>
    </row>
    <row r="1467" spans="1:15" s="23" customFormat="1" ht="14.25" x14ac:dyDescent="0.2">
      <c r="A1467" s="134"/>
      <c r="B1467" s="129"/>
      <c r="C1467" s="29"/>
      <c r="D1467" s="117" t="s">
        <v>83</v>
      </c>
      <c r="E1467" s="30"/>
      <c r="F1467" s="118"/>
      <c r="G1467" s="31"/>
      <c r="H1467" s="104"/>
      <c r="I1467" s="27"/>
      <c r="J1467" s="105"/>
      <c r="K1467" s="104"/>
      <c r="L1467" s="27"/>
      <c r="M1467" s="105"/>
      <c r="N1467" s="92"/>
      <c r="O1467" s="92"/>
    </row>
    <row r="1468" spans="1:15" s="23" customFormat="1" ht="33.75" x14ac:dyDescent="0.2">
      <c r="A1468" s="223" t="s">
        <v>78</v>
      </c>
      <c r="B1468" s="224">
        <v>84215</v>
      </c>
      <c r="C1468" s="225" t="s">
        <v>631</v>
      </c>
      <c r="D1468" s="226" t="s">
        <v>753</v>
      </c>
      <c r="E1468" s="225" t="s">
        <v>94</v>
      </c>
      <c r="F1468" s="515">
        <f>'MEMÓRIA DE CÁLCULO'!H280</f>
        <v>4.8</v>
      </c>
      <c r="G1468" s="228"/>
      <c r="H1468" s="229">
        <f>ROUND(SUM(H1469:H1476),2)</f>
        <v>13.68</v>
      </c>
      <c r="I1468" s="229">
        <f>ROUND(SUM(I1469:I1476),2)</f>
        <v>13.61</v>
      </c>
      <c r="J1468" s="231">
        <f>(H1468+I1468)</f>
        <v>27.29</v>
      </c>
      <c r="K1468" s="229">
        <f>F1468*H1468</f>
        <v>65.664000000000001</v>
      </c>
      <c r="L1468" s="230">
        <f>F1468*I1468</f>
        <v>65.327999999999989</v>
      </c>
      <c r="M1468" s="231">
        <f>K1468+L1468</f>
        <v>130.99199999999999</v>
      </c>
      <c r="N1468" s="227">
        <f>M1468*$N$7</f>
        <v>35.472633599999995</v>
      </c>
      <c r="O1468" s="227">
        <f>M1468+N1468</f>
        <v>166.46463359999998</v>
      </c>
    </row>
    <row r="1469" spans="1:15" s="552" customFormat="1" ht="15" customHeight="1" x14ac:dyDescent="0.25">
      <c r="A1469" s="543"/>
      <c r="B1469" s="544" t="s">
        <v>658</v>
      </c>
      <c r="C1469" s="513">
        <v>6117</v>
      </c>
      <c r="D1469" s="545" t="s">
        <v>682</v>
      </c>
      <c r="E1469" s="514" t="s">
        <v>42</v>
      </c>
      <c r="F1469" s="546">
        <v>0.23</v>
      </c>
      <c r="G1469" s="547">
        <v>9.4499999999999993</v>
      </c>
      <c r="H1469" s="548"/>
      <c r="I1469" s="547">
        <f>F1469*G1469</f>
        <v>2.1734999999999998</v>
      </c>
      <c r="J1469" s="549"/>
      <c r="K1469" s="548"/>
      <c r="L1469" s="547"/>
      <c r="M1469" s="549"/>
      <c r="N1469" s="550"/>
      <c r="O1469" s="551"/>
    </row>
    <row r="1470" spans="1:15" s="552" customFormat="1" ht="15" customHeight="1" x14ac:dyDescent="0.25">
      <c r="A1470" s="543"/>
      <c r="B1470" s="544" t="s">
        <v>658</v>
      </c>
      <c r="C1470" s="513">
        <v>1213</v>
      </c>
      <c r="D1470" s="545" t="s">
        <v>676</v>
      </c>
      <c r="E1470" s="514" t="s">
        <v>42</v>
      </c>
      <c r="F1470" s="546">
        <v>0.91</v>
      </c>
      <c r="G1470" s="547">
        <v>12.57</v>
      </c>
      <c r="H1470" s="548"/>
      <c r="I1470" s="547">
        <f>F1470*G1470</f>
        <v>11.438700000000001</v>
      </c>
      <c r="J1470" s="549"/>
      <c r="K1470" s="548"/>
      <c r="L1470" s="547"/>
      <c r="M1470" s="549"/>
      <c r="N1470" s="550"/>
      <c r="O1470" s="551"/>
    </row>
    <row r="1471" spans="1:15" s="552" customFormat="1" ht="15" customHeight="1" x14ac:dyDescent="0.25">
      <c r="A1471" s="543"/>
      <c r="B1471" s="544" t="s">
        <v>658</v>
      </c>
      <c r="C1471" s="513">
        <v>1357</v>
      </c>
      <c r="D1471" s="545" t="s">
        <v>683</v>
      </c>
      <c r="E1471" s="514" t="s">
        <v>684</v>
      </c>
      <c r="F1471" s="546">
        <v>0.17419999999999999</v>
      </c>
      <c r="G1471" s="547">
        <v>28.54</v>
      </c>
      <c r="H1471" s="548">
        <f t="shared" ref="H1471:H1472" si="191">F1471*G1471</f>
        <v>4.9716679999999993</v>
      </c>
      <c r="I1471" s="547"/>
      <c r="J1471" s="549"/>
      <c r="K1471" s="548"/>
      <c r="L1471" s="547"/>
      <c r="M1471" s="549"/>
      <c r="N1471" s="550"/>
      <c r="O1471" s="551"/>
    </row>
    <row r="1472" spans="1:15" s="552" customFormat="1" ht="15" customHeight="1" x14ac:dyDescent="0.25">
      <c r="A1472" s="543"/>
      <c r="B1472" s="544" t="s">
        <v>658</v>
      </c>
      <c r="C1472" s="513">
        <v>2692</v>
      </c>
      <c r="D1472" s="545" t="s">
        <v>685</v>
      </c>
      <c r="E1472" s="514" t="s">
        <v>686</v>
      </c>
      <c r="F1472" s="546">
        <v>6.0000000000000001E-3</v>
      </c>
      <c r="G1472" s="547">
        <v>9.82</v>
      </c>
      <c r="H1472" s="548">
        <f t="shared" si="191"/>
        <v>5.892E-2</v>
      </c>
      <c r="I1472" s="547"/>
      <c r="J1472" s="549"/>
      <c r="K1472" s="548"/>
      <c r="L1472" s="547"/>
      <c r="M1472" s="549"/>
      <c r="N1472" s="550"/>
      <c r="O1472" s="551"/>
    </row>
    <row r="1473" spans="1:15" s="552" customFormat="1" ht="15" customHeight="1" x14ac:dyDescent="0.25">
      <c r="A1473" s="543"/>
      <c r="B1473" s="544" t="s">
        <v>658</v>
      </c>
      <c r="C1473" s="513">
        <v>4491</v>
      </c>
      <c r="D1473" s="545" t="s">
        <v>659</v>
      </c>
      <c r="E1473" s="514" t="s">
        <v>98</v>
      </c>
      <c r="F1473" s="546">
        <v>1.04</v>
      </c>
      <c r="G1473" s="547">
        <v>3.25</v>
      </c>
      <c r="H1473" s="548">
        <f>F1473*G1473</f>
        <v>3.38</v>
      </c>
      <c r="I1473" s="547"/>
      <c r="J1473" s="549"/>
      <c r="K1473" s="548"/>
      <c r="L1473" s="547"/>
      <c r="M1473" s="549"/>
      <c r="N1473" s="550"/>
      <c r="O1473" s="551"/>
    </row>
    <row r="1474" spans="1:15" s="552" customFormat="1" ht="15" customHeight="1" x14ac:dyDescent="0.25">
      <c r="A1474" s="543"/>
      <c r="B1474" s="544" t="s">
        <v>657</v>
      </c>
      <c r="C1474" s="513">
        <v>4506</v>
      </c>
      <c r="D1474" s="545" t="s">
        <v>687</v>
      </c>
      <c r="E1474" s="514" t="s">
        <v>98</v>
      </c>
      <c r="F1474" s="546">
        <v>0.55000000000000004</v>
      </c>
      <c r="G1474" s="547">
        <v>2.0099999999999998</v>
      </c>
      <c r="H1474" s="548">
        <f>F1474*G1474</f>
        <v>1.1054999999999999</v>
      </c>
      <c r="I1474" s="547"/>
      <c r="J1474" s="549"/>
      <c r="K1474" s="548"/>
      <c r="L1474" s="547"/>
      <c r="M1474" s="549"/>
      <c r="N1474" s="550"/>
      <c r="O1474" s="551"/>
    </row>
    <row r="1475" spans="1:15" s="552" customFormat="1" ht="15" customHeight="1" x14ac:dyDescent="0.25">
      <c r="A1475" s="543"/>
      <c r="B1475" s="544" t="s">
        <v>658</v>
      </c>
      <c r="C1475" s="513">
        <v>5068</v>
      </c>
      <c r="D1475" s="545" t="s">
        <v>688</v>
      </c>
      <c r="E1475" s="514" t="s">
        <v>97</v>
      </c>
      <c r="F1475" s="546">
        <v>0.27</v>
      </c>
      <c r="G1475" s="547">
        <v>6.99</v>
      </c>
      <c r="H1475" s="548">
        <f>F1475*G1475</f>
        <v>1.8873000000000002</v>
      </c>
      <c r="I1475" s="547"/>
      <c r="J1475" s="549"/>
      <c r="K1475" s="548"/>
      <c r="L1475" s="547"/>
      <c r="M1475" s="549"/>
      <c r="N1475" s="550"/>
      <c r="O1475" s="551"/>
    </row>
    <row r="1476" spans="1:15" s="552" customFormat="1" ht="15" customHeight="1" x14ac:dyDescent="0.25">
      <c r="A1476" s="543"/>
      <c r="B1476" s="544" t="s">
        <v>658</v>
      </c>
      <c r="C1476" s="513">
        <v>6189</v>
      </c>
      <c r="D1476" s="545" t="s">
        <v>689</v>
      </c>
      <c r="E1476" s="514" t="s">
        <v>98</v>
      </c>
      <c r="F1476" s="546">
        <v>0.31</v>
      </c>
      <c r="G1476" s="547">
        <v>7.33</v>
      </c>
      <c r="H1476" s="548">
        <f>F1476*G1476</f>
        <v>2.2723</v>
      </c>
      <c r="I1476" s="547"/>
      <c r="J1476" s="549"/>
      <c r="K1476" s="548"/>
      <c r="L1476" s="547"/>
      <c r="M1476" s="549"/>
      <c r="N1476" s="550"/>
      <c r="O1476" s="551"/>
    </row>
    <row r="1477" spans="1:15" s="189" customFormat="1" ht="11.25" x14ac:dyDescent="0.25">
      <c r="A1477" s="173"/>
      <c r="C1477" s="175"/>
      <c r="D1477" s="176"/>
      <c r="E1477" s="177"/>
      <c r="F1477" s="190"/>
      <c r="G1477" s="192"/>
      <c r="H1477" s="193"/>
      <c r="I1477" s="182"/>
      <c r="J1477" s="183"/>
      <c r="K1477" s="184"/>
      <c r="L1477" s="185"/>
      <c r="M1477" s="186"/>
      <c r="N1477" s="187"/>
      <c r="O1477" s="188"/>
    </row>
    <row r="1478" spans="1:15" s="23" customFormat="1" ht="14.25" x14ac:dyDescent="0.2">
      <c r="A1478" s="223" t="s">
        <v>78</v>
      </c>
      <c r="B1478" s="224" t="s">
        <v>690</v>
      </c>
      <c r="C1478" s="225" t="s">
        <v>632</v>
      </c>
      <c r="D1478" s="226" t="s">
        <v>754</v>
      </c>
      <c r="E1478" s="225" t="s">
        <v>95</v>
      </c>
      <c r="F1478" s="515">
        <f>'MEMÓRIA DE CÁLCULO'!G280</f>
        <v>0.18</v>
      </c>
      <c r="G1478" s="228"/>
      <c r="H1478" s="229">
        <f>ROUND(SUM(H1479:H1485),2)</f>
        <v>266.02</v>
      </c>
      <c r="I1478" s="229">
        <f>ROUND(SUM(I1479:I1485),2)</f>
        <v>46.21</v>
      </c>
      <c r="J1478" s="231">
        <f>(H1478+I1478)</f>
        <v>312.22999999999996</v>
      </c>
      <c r="K1478" s="229">
        <f>F1478*H1478</f>
        <v>47.883599999999994</v>
      </c>
      <c r="L1478" s="230">
        <f>F1478*I1478</f>
        <v>8.3178000000000001</v>
      </c>
      <c r="M1478" s="231">
        <f>K1478+L1478</f>
        <v>56.201399999999992</v>
      </c>
      <c r="N1478" s="227">
        <f>M1478*$N$7</f>
        <v>15.219339119999997</v>
      </c>
      <c r="O1478" s="227">
        <f>M1478+N1478</f>
        <v>71.420739119999993</v>
      </c>
    </row>
    <row r="1479" spans="1:15" s="552" customFormat="1" ht="15" customHeight="1" x14ac:dyDescent="0.25">
      <c r="A1479" s="543"/>
      <c r="B1479" s="544" t="s">
        <v>664</v>
      </c>
      <c r="C1479" s="513">
        <v>88291</v>
      </c>
      <c r="D1479" s="545" t="s">
        <v>691</v>
      </c>
      <c r="E1479" s="514" t="s">
        <v>42</v>
      </c>
      <c r="F1479" s="546">
        <v>1.8335999999999999</v>
      </c>
      <c r="G1479" s="547">
        <v>9.4499999999999993</v>
      </c>
      <c r="H1479" s="548"/>
      <c r="I1479" s="547">
        <f>F1479*G1479</f>
        <v>17.327519999999996</v>
      </c>
      <c r="J1479" s="549"/>
      <c r="K1479" s="548"/>
      <c r="L1479" s="547"/>
      <c r="M1479" s="549"/>
      <c r="N1479" s="550"/>
      <c r="O1479" s="551"/>
    </row>
    <row r="1480" spans="1:15" s="552" customFormat="1" ht="15" customHeight="1" x14ac:dyDescent="0.25">
      <c r="A1480" s="543"/>
      <c r="B1480" s="544" t="s">
        <v>658</v>
      </c>
      <c r="C1480" s="513">
        <v>6111</v>
      </c>
      <c r="D1480" s="545" t="s">
        <v>670</v>
      </c>
      <c r="E1480" s="514" t="s">
        <v>42</v>
      </c>
      <c r="F1480" s="546">
        <v>3.2378</v>
      </c>
      <c r="G1480" s="547">
        <v>8.92</v>
      </c>
      <c r="H1480" s="548"/>
      <c r="I1480" s="547">
        <f>F1480*G1480</f>
        <v>28.881176</v>
      </c>
      <c r="J1480" s="549"/>
      <c r="K1480" s="548"/>
      <c r="L1480" s="547"/>
      <c r="M1480" s="549"/>
      <c r="N1480" s="550"/>
      <c r="O1480" s="551"/>
    </row>
    <row r="1481" spans="1:15" s="552" customFormat="1" ht="15" customHeight="1" x14ac:dyDescent="0.25">
      <c r="A1481" s="543"/>
      <c r="B1481" s="544" t="s">
        <v>657</v>
      </c>
      <c r="C1481" s="513">
        <v>370</v>
      </c>
      <c r="D1481" s="545" t="s">
        <v>692</v>
      </c>
      <c r="E1481" s="514" t="s">
        <v>95</v>
      </c>
      <c r="F1481" s="546">
        <v>0.8669</v>
      </c>
      <c r="G1481" s="547">
        <v>56.58</v>
      </c>
      <c r="H1481" s="548">
        <f t="shared" ref="H1481:H1482" si="192">F1481*G1481</f>
        <v>49.049202000000001</v>
      </c>
      <c r="I1481" s="547"/>
      <c r="J1481" s="549"/>
      <c r="K1481" s="548"/>
      <c r="L1481" s="547"/>
      <c r="M1481" s="549"/>
      <c r="N1481" s="550"/>
      <c r="O1481" s="551"/>
    </row>
    <row r="1482" spans="1:15" s="552" customFormat="1" ht="15" customHeight="1" x14ac:dyDescent="0.25">
      <c r="A1482" s="543"/>
      <c r="B1482" s="544" t="s">
        <v>658</v>
      </c>
      <c r="C1482" s="513">
        <v>1379</v>
      </c>
      <c r="D1482" s="545" t="s">
        <v>693</v>
      </c>
      <c r="E1482" s="514" t="s">
        <v>694</v>
      </c>
      <c r="F1482" s="546">
        <v>349</v>
      </c>
      <c r="G1482" s="547">
        <v>0.5</v>
      </c>
      <c r="H1482" s="548">
        <f t="shared" si="192"/>
        <v>174.5</v>
      </c>
      <c r="I1482" s="547"/>
      <c r="J1482" s="549"/>
      <c r="K1482" s="548"/>
      <c r="L1482" s="547"/>
      <c r="M1482" s="549"/>
      <c r="N1482" s="550"/>
      <c r="O1482" s="551"/>
    </row>
    <row r="1483" spans="1:15" s="552" customFormat="1" ht="15" customHeight="1" x14ac:dyDescent="0.25">
      <c r="A1483" s="543"/>
      <c r="B1483" s="544" t="s">
        <v>657</v>
      </c>
      <c r="C1483" s="513">
        <v>4718</v>
      </c>
      <c r="D1483" s="545" t="s">
        <v>695</v>
      </c>
      <c r="E1483" s="514" t="s">
        <v>696</v>
      </c>
      <c r="F1483" s="546">
        <v>0.20899999999999999</v>
      </c>
      <c r="G1483" s="547">
        <v>42.13</v>
      </c>
      <c r="H1483" s="548">
        <f>F1483*G1483</f>
        <v>8.8051700000000004</v>
      </c>
      <c r="I1483" s="547"/>
      <c r="J1483" s="549"/>
      <c r="K1483" s="548"/>
      <c r="L1483" s="547"/>
      <c r="M1483" s="549"/>
      <c r="N1483" s="550"/>
      <c r="O1483" s="551"/>
    </row>
    <row r="1484" spans="1:15" s="552" customFormat="1" ht="15" customHeight="1" x14ac:dyDescent="0.25">
      <c r="A1484" s="543"/>
      <c r="B1484" s="544" t="s">
        <v>658</v>
      </c>
      <c r="C1484" s="513">
        <v>4721</v>
      </c>
      <c r="D1484" s="545" t="s">
        <v>697</v>
      </c>
      <c r="E1484" s="514" t="s">
        <v>95</v>
      </c>
      <c r="F1484" s="546">
        <v>0.627</v>
      </c>
      <c r="G1484" s="547">
        <v>46.94</v>
      </c>
      <c r="H1484" s="548">
        <f>F1484*G1484</f>
        <v>29.431379999999997</v>
      </c>
      <c r="I1484" s="547"/>
      <c r="J1484" s="549"/>
      <c r="K1484" s="548"/>
      <c r="L1484" s="547"/>
      <c r="M1484" s="549"/>
      <c r="N1484" s="550"/>
      <c r="O1484" s="551"/>
    </row>
    <row r="1485" spans="1:15" s="552" customFormat="1" ht="15" customHeight="1" x14ac:dyDescent="0.25">
      <c r="A1485" s="543"/>
      <c r="B1485" s="544" t="s">
        <v>657</v>
      </c>
      <c r="C1485" s="513">
        <v>10533</v>
      </c>
      <c r="D1485" s="545" t="s">
        <v>698</v>
      </c>
      <c r="E1485" s="514" t="s">
        <v>667</v>
      </c>
      <c r="F1485" s="546">
        <v>1.8335999999999999</v>
      </c>
      <c r="G1485" s="547">
        <v>2.31</v>
      </c>
      <c r="H1485" s="548">
        <f>F1485*G1485</f>
        <v>4.2356160000000003</v>
      </c>
      <c r="I1485" s="547"/>
      <c r="J1485" s="549"/>
      <c r="K1485" s="548"/>
      <c r="L1485" s="547"/>
      <c r="M1485" s="549"/>
      <c r="N1485" s="550"/>
      <c r="O1485" s="551"/>
    </row>
    <row r="1486" spans="1:15" s="23" customFormat="1" ht="14.25" x14ac:dyDescent="0.2">
      <c r="A1486" s="134"/>
      <c r="B1486" s="129"/>
      <c r="C1486" s="29"/>
      <c r="D1486" s="117" t="s">
        <v>83</v>
      </c>
      <c r="E1486" s="30"/>
      <c r="F1486" s="118"/>
      <c r="G1486" s="31"/>
      <c r="H1486" s="104"/>
      <c r="I1486" s="27"/>
      <c r="J1486" s="105"/>
      <c r="K1486" s="104"/>
      <c r="L1486" s="27"/>
      <c r="M1486" s="105"/>
      <c r="N1486" s="92"/>
      <c r="O1486" s="92"/>
    </row>
    <row r="1487" spans="1:15" s="23" customFormat="1" ht="14.25" x14ac:dyDescent="0.2">
      <c r="A1487" s="223" t="s">
        <v>78</v>
      </c>
      <c r="B1487" s="224" t="s">
        <v>699</v>
      </c>
      <c r="C1487" s="225" t="s">
        <v>633</v>
      </c>
      <c r="D1487" s="226" t="s">
        <v>755</v>
      </c>
      <c r="E1487" s="225" t="s">
        <v>95</v>
      </c>
      <c r="F1487" s="515">
        <f>F1478</f>
        <v>0.18</v>
      </c>
      <c r="G1487" s="228"/>
      <c r="H1487" s="229">
        <f>ROUND(SUM(H1488:H1490),2)</f>
        <v>0.33</v>
      </c>
      <c r="I1487" s="229">
        <f>ROUND(SUM(I1488:I1490),2)</f>
        <v>60.88</v>
      </c>
      <c r="J1487" s="231">
        <f>(H1487+I1487)</f>
        <v>61.21</v>
      </c>
      <c r="K1487" s="229">
        <f>F1487*H1487</f>
        <v>5.9400000000000001E-2</v>
      </c>
      <c r="L1487" s="230">
        <f>F1487*I1487</f>
        <v>10.958399999999999</v>
      </c>
      <c r="M1487" s="231">
        <f>K1487+L1487</f>
        <v>11.017799999999999</v>
      </c>
      <c r="N1487" s="227">
        <f>M1487*$N$7</f>
        <v>2.9836202399999996</v>
      </c>
      <c r="O1487" s="227">
        <f>M1487+N1487</f>
        <v>14.001420239999998</v>
      </c>
    </row>
    <row r="1488" spans="1:15" s="552" customFormat="1" ht="15" customHeight="1" x14ac:dyDescent="0.25">
      <c r="A1488" s="543"/>
      <c r="B1488" s="544" t="s">
        <v>658</v>
      </c>
      <c r="C1488" s="513">
        <v>4750</v>
      </c>
      <c r="D1488" s="545" t="s">
        <v>679</v>
      </c>
      <c r="E1488" s="514" t="s">
        <v>42</v>
      </c>
      <c r="F1488" s="546">
        <v>1.65</v>
      </c>
      <c r="G1488" s="547">
        <v>12.57</v>
      </c>
      <c r="H1488" s="548"/>
      <c r="I1488" s="547">
        <f>F1488*G1488</f>
        <v>20.740500000000001</v>
      </c>
      <c r="J1488" s="549"/>
      <c r="K1488" s="548"/>
      <c r="L1488" s="547"/>
      <c r="M1488" s="549"/>
      <c r="N1488" s="550"/>
      <c r="O1488" s="551"/>
    </row>
    <row r="1489" spans="1:15" s="552" customFormat="1" ht="15" customHeight="1" x14ac:dyDescent="0.25">
      <c r="A1489" s="543"/>
      <c r="B1489" s="544" t="s">
        <v>658</v>
      </c>
      <c r="C1489" s="513">
        <v>6111</v>
      </c>
      <c r="D1489" s="545" t="s">
        <v>670</v>
      </c>
      <c r="E1489" s="514" t="s">
        <v>42</v>
      </c>
      <c r="F1489" s="546">
        <v>4.5</v>
      </c>
      <c r="G1489" s="547">
        <v>8.92</v>
      </c>
      <c r="H1489" s="548"/>
      <c r="I1489" s="547">
        <f>F1489*G1489</f>
        <v>40.14</v>
      </c>
      <c r="J1489" s="549"/>
      <c r="K1489" s="548"/>
      <c r="L1489" s="547"/>
      <c r="M1489" s="549"/>
      <c r="N1489" s="550"/>
      <c r="O1489" s="551"/>
    </row>
    <row r="1490" spans="1:15" s="552" customFormat="1" ht="15" customHeight="1" x14ac:dyDescent="0.25">
      <c r="A1490" s="543"/>
      <c r="B1490" s="544" t="s">
        <v>658</v>
      </c>
      <c r="C1490" s="513">
        <v>10485</v>
      </c>
      <c r="D1490" s="545" t="s">
        <v>700</v>
      </c>
      <c r="E1490" s="514" t="s">
        <v>91</v>
      </c>
      <c r="F1490" s="546">
        <v>0.3</v>
      </c>
      <c r="G1490" s="547">
        <v>1.0900000000000001</v>
      </c>
      <c r="H1490" s="548">
        <f t="shared" ref="H1490" si="193">F1490*G1490</f>
        <v>0.32700000000000001</v>
      </c>
      <c r="I1490" s="547"/>
      <c r="J1490" s="549"/>
      <c r="K1490" s="548"/>
      <c r="L1490" s="547"/>
      <c r="M1490" s="549"/>
      <c r="N1490" s="550"/>
      <c r="O1490" s="551"/>
    </row>
    <row r="1491" spans="1:15" s="23" customFormat="1" ht="14.25" x14ac:dyDescent="0.2">
      <c r="A1491" s="134"/>
      <c r="B1491" s="129"/>
      <c r="C1491" s="29"/>
      <c r="D1491" s="117" t="s">
        <v>83</v>
      </c>
      <c r="E1491" s="30"/>
      <c r="F1491" s="118"/>
      <c r="G1491" s="31"/>
      <c r="H1491" s="104"/>
      <c r="I1491" s="27"/>
      <c r="J1491" s="105"/>
      <c r="K1491" s="104"/>
      <c r="L1491" s="27"/>
      <c r="M1491" s="105"/>
      <c r="N1491" s="92"/>
      <c r="O1491" s="92"/>
    </row>
    <row r="1492" spans="1:15" s="23" customFormat="1" ht="14.25" x14ac:dyDescent="0.2">
      <c r="A1492" s="223" t="s">
        <v>78</v>
      </c>
      <c r="B1492" s="224" t="s">
        <v>701</v>
      </c>
      <c r="C1492" s="225" t="s">
        <v>634</v>
      </c>
      <c r="D1492" s="226" t="s">
        <v>756</v>
      </c>
      <c r="E1492" s="225" t="s">
        <v>684</v>
      </c>
      <c r="F1492" s="515">
        <f>F1487</f>
        <v>0.18</v>
      </c>
      <c r="G1492" s="228"/>
      <c r="H1492" s="229">
        <f>ROUND(SUM(H1493:H1497),2)</f>
        <v>296.20999999999998</v>
      </c>
      <c r="I1492" s="229">
        <f>ROUND(SUM(I1493:I1497),2)</f>
        <v>150.43</v>
      </c>
      <c r="J1492" s="231">
        <f>(H1492+I1492)</f>
        <v>446.64</v>
      </c>
      <c r="K1492" s="229">
        <f>F1492*H1492</f>
        <v>53.317799999999991</v>
      </c>
      <c r="L1492" s="230">
        <f>F1492*I1492</f>
        <v>27.077400000000001</v>
      </c>
      <c r="M1492" s="231">
        <f>K1492+L1492</f>
        <v>80.395199999999988</v>
      </c>
      <c r="N1492" s="227">
        <f>M1492*$N$7</f>
        <v>21.771020159999996</v>
      </c>
      <c r="O1492" s="227">
        <f>M1492+N1492</f>
        <v>102.16622015999998</v>
      </c>
    </row>
    <row r="1493" spans="1:15" s="552" customFormat="1" ht="15" customHeight="1" x14ac:dyDescent="0.25">
      <c r="A1493" s="543"/>
      <c r="B1493" s="544" t="s">
        <v>658</v>
      </c>
      <c r="C1493" s="513">
        <v>378</v>
      </c>
      <c r="D1493" s="545" t="s">
        <v>702</v>
      </c>
      <c r="E1493" s="514" t="s">
        <v>42</v>
      </c>
      <c r="F1493" s="546">
        <v>7</v>
      </c>
      <c r="G1493" s="547">
        <v>12.57</v>
      </c>
      <c r="H1493" s="548"/>
      <c r="I1493" s="547">
        <f>F1493*G1493</f>
        <v>87.990000000000009</v>
      </c>
      <c r="J1493" s="549"/>
      <c r="K1493" s="548"/>
      <c r="L1493" s="547"/>
      <c r="M1493" s="549"/>
      <c r="N1493" s="550"/>
      <c r="O1493" s="551"/>
    </row>
    <row r="1494" spans="1:15" s="552" customFormat="1" ht="15" customHeight="1" x14ac:dyDescent="0.25">
      <c r="A1494" s="543"/>
      <c r="B1494" s="544" t="s">
        <v>658</v>
      </c>
      <c r="C1494" s="513">
        <v>6111</v>
      </c>
      <c r="D1494" s="545" t="s">
        <v>670</v>
      </c>
      <c r="E1494" s="514" t="s">
        <v>42</v>
      </c>
      <c r="F1494" s="546">
        <v>7</v>
      </c>
      <c r="G1494" s="547">
        <v>8.92</v>
      </c>
      <c r="H1494" s="548"/>
      <c r="I1494" s="547">
        <f>F1494*G1494</f>
        <v>62.44</v>
      </c>
      <c r="J1494" s="549"/>
      <c r="K1494" s="548"/>
      <c r="L1494" s="547"/>
      <c r="M1494" s="549"/>
      <c r="N1494" s="550"/>
      <c r="O1494" s="551"/>
    </row>
    <row r="1495" spans="1:15" s="552" customFormat="1" ht="15" customHeight="1" x14ac:dyDescent="0.25">
      <c r="A1495" s="543"/>
      <c r="B1495" s="544" t="s">
        <v>657</v>
      </c>
      <c r="C1495" s="513">
        <v>27</v>
      </c>
      <c r="D1495" s="545" t="s">
        <v>703</v>
      </c>
      <c r="E1495" s="514" t="s">
        <v>97</v>
      </c>
      <c r="F1495" s="546">
        <v>55</v>
      </c>
      <c r="G1495" s="547">
        <v>3.38</v>
      </c>
      <c r="H1495" s="548">
        <f t="shared" ref="H1495:H1497" si="194">F1495*G1495</f>
        <v>185.9</v>
      </c>
      <c r="I1495" s="547"/>
      <c r="J1495" s="549"/>
      <c r="K1495" s="548"/>
      <c r="L1495" s="547"/>
      <c r="M1495" s="549"/>
      <c r="N1495" s="550"/>
      <c r="O1495" s="551"/>
    </row>
    <row r="1496" spans="1:15" s="552" customFormat="1" ht="15" customHeight="1" x14ac:dyDescent="0.25">
      <c r="A1496" s="543"/>
      <c r="B1496" s="544" t="s">
        <v>658</v>
      </c>
      <c r="C1496" s="513">
        <v>33</v>
      </c>
      <c r="D1496" s="545" t="s">
        <v>704</v>
      </c>
      <c r="E1496" s="514" t="s">
        <v>97</v>
      </c>
      <c r="F1496" s="546">
        <v>22</v>
      </c>
      <c r="G1496" s="547">
        <v>4.18</v>
      </c>
      <c r="H1496" s="548">
        <f t="shared" si="194"/>
        <v>91.96</v>
      </c>
      <c r="I1496" s="547"/>
      <c r="J1496" s="549"/>
      <c r="K1496" s="548"/>
      <c r="L1496" s="547"/>
      <c r="M1496" s="549"/>
      <c r="N1496" s="550"/>
      <c r="O1496" s="551"/>
    </row>
    <row r="1497" spans="1:15" s="552" customFormat="1" ht="15" customHeight="1" x14ac:dyDescent="0.25">
      <c r="A1497" s="543"/>
      <c r="B1497" s="544" t="s">
        <v>657</v>
      </c>
      <c r="C1497" s="513">
        <v>337</v>
      </c>
      <c r="D1497" s="545" t="s">
        <v>705</v>
      </c>
      <c r="E1497" s="514" t="s">
        <v>97</v>
      </c>
      <c r="F1497" s="546">
        <v>2.5</v>
      </c>
      <c r="G1497" s="547">
        <v>7.34</v>
      </c>
      <c r="H1497" s="548">
        <f t="shared" si="194"/>
        <v>18.350000000000001</v>
      </c>
      <c r="I1497" s="547"/>
      <c r="J1497" s="549"/>
      <c r="K1497" s="548"/>
      <c r="L1497" s="547"/>
      <c r="M1497" s="549"/>
      <c r="N1497" s="550"/>
      <c r="O1497" s="551"/>
    </row>
    <row r="1498" spans="1:15" s="23" customFormat="1" ht="14.25" x14ac:dyDescent="0.2">
      <c r="A1498" s="134"/>
      <c r="B1498" s="129"/>
      <c r="C1498" s="29"/>
      <c r="D1498" s="117" t="s">
        <v>83</v>
      </c>
      <c r="E1498" s="30"/>
      <c r="F1498" s="118"/>
      <c r="G1498" s="31"/>
      <c r="H1498" s="104"/>
      <c r="I1498" s="27"/>
      <c r="J1498" s="105"/>
      <c r="K1498" s="104"/>
      <c r="L1498" s="27"/>
      <c r="M1498" s="105"/>
      <c r="N1498" s="92"/>
      <c r="O1498" s="92"/>
    </row>
    <row r="1499" spans="1:15" s="23" customFormat="1" ht="14.25" x14ac:dyDescent="0.2">
      <c r="A1499" s="135"/>
      <c r="B1499" s="120"/>
      <c r="C1499" s="122"/>
      <c r="D1499" s="124" t="s">
        <v>1001</v>
      </c>
      <c r="E1499" s="122"/>
      <c r="F1499" s="90"/>
      <c r="G1499" s="116"/>
      <c r="H1499" s="102"/>
      <c r="I1499" s="35"/>
      <c r="J1499" s="103"/>
      <c r="K1499" s="102"/>
      <c r="L1499" s="35"/>
      <c r="M1499" s="103"/>
      <c r="N1499" s="90"/>
      <c r="O1499" s="90"/>
    </row>
    <row r="1500" spans="1:15" s="23" customFormat="1" ht="33.75" x14ac:dyDescent="0.2">
      <c r="A1500" s="223" t="s">
        <v>78</v>
      </c>
      <c r="B1500" s="224">
        <v>84215</v>
      </c>
      <c r="C1500" s="225" t="s">
        <v>635</v>
      </c>
      <c r="D1500" s="226" t="s">
        <v>753</v>
      </c>
      <c r="E1500" s="225" t="s">
        <v>94</v>
      </c>
      <c r="F1500" s="515">
        <f>'MEMÓRIA DE CÁLCULO'!H281+'MEMÓRIA DE CÁLCULO'!H283</f>
        <v>5.3900000000000006</v>
      </c>
      <c r="G1500" s="228"/>
      <c r="H1500" s="229">
        <f>ROUND(SUM(H1501:H1508),2)</f>
        <v>13.68</v>
      </c>
      <c r="I1500" s="229">
        <f>ROUND(SUM(I1501:I1508),2)</f>
        <v>13.61</v>
      </c>
      <c r="J1500" s="231">
        <f>(H1500+I1500)</f>
        <v>27.29</v>
      </c>
      <c r="K1500" s="229">
        <f>F1500*H1500</f>
        <v>73.735200000000006</v>
      </c>
      <c r="L1500" s="230">
        <f>F1500*I1500</f>
        <v>73.357900000000001</v>
      </c>
      <c r="M1500" s="231">
        <f>K1500+L1500</f>
        <v>147.09309999999999</v>
      </c>
      <c r="N1500" s="227">
        <f>M1500*$N$7</f>
        <v>39.832811479999997</v>
      </c>
      <c r="O1500" s="227">
        <f>M1500+N1500</f>
        <v>186.92591148</v>
      </c>
    </row>
    <row r="1501" spans="1:15" s="552" customFormat="1" ht="15" customHeight="1" x14ac:dyDescent="0.25">
      <c r="A1501" s="543"/>
      <c r="B1501" s="544" t="s">
        <v>658</v>
      </c>
      <c r="C1501" s="513">
        <v>6117</v>
      </c>
      <c r="D1501" s="545" t="s">
        <v>682</v>
      </c>
      <c r="E1501" s="514" t="s">
        <v>42</v>
      </c>
      <c r="F1501" s="546">
        <v>0.23</v>
      </c>
      <c r="G1501" s="547">
        <v>9.4499999999999993</v>
      </c>
      <c r="H1501" s="548"/>
      <c r="I1501" s="547">
        <f>F1501*G1501</f>
        <v>2.1734999999999998</v>
      </c>
      <c r="J1501" s="549"/>
      <c r="K1501" s="548"/>
      <c r="L1501" s="547"/>
      <c r="M1501" s="549"/>
      <c r="N1501" s="550"/>
      <c r="O1501" s="551"/>
    </row>
    <row r="1502" spans="1:15" s="552" customFormat="1" ht="15" customHeight="1" x14ac:dyDescent="0.25">
      <c r="A1502" s="543"/>
      <c r="B1502" s="544" t="s">
        <v>658</v>
      </c>
      <c r="C1502" s="513">
        <v>1213</v>
      </c>
      <c r="D1502" s="545" t="s">
        <v>676</v>
      </c>
      <c r="E1502" s="514" t="s">
        <v>42</v>
      </c>
      <c r="F1502" s="546">
        <v>0.91</v>
      </c>
      <c r="G1502" s="547">
        <v>12.57</v>
      </c>
      <c r="H1502" s="548"/>
      <c r="I1502" s="547">
        <f>F1502*G1502</f>
        <v>11.438700000000001</v>
      </c>
      <c r="J1502" s="549"/>
      <c r="K1502" s="548"/>
      <c r="L1502" s="547"/>
      <c r="M1502" s="549"/>
      <c r="N1502" s="550"/>
      <c r="O1502" s="551"/>
    </row>
    <row r="1503" spans="1:15" s="552" customFormat="1" ht="15" customHeight="1" x14ac:dyDescent="0.25">
      <c r="A1503" s="543"/>
      <c r="B1503" s="544" t="s">
        <v>658</v>
      </c>
      <c r="C1503" s="513">
        <v>1357</v>
      </c>
      <c r="D1503" s="545" t="s">
        <v>683</v>
      </c>
      <c r="E1503" s="514" t="s">
        <v>684</v>
      </c>
      <c r="F1503" s="546">
        <v>0.17419999999999999</v>
      </c>
      <c r="G1503" s="547">
        <v>28.54</v>
      </c>
      <c r="H1503" s="548">
        <f t="shared" ref="H1503:H1504" si="195">F1503*G1503</f>
        <v>4.9716679999999993</v>
      </c>
      <c r="I1503" s="547"/>
      <c r="J1503" s="549"/>
      <c r="K1503" s="548"/>
      <c r="L1503" s="547"/>
      <c r="M1503" s="549"/>
      <c r="N1503" s="550"/>
      <c r="O1503" s="551"/>
    </row>
    <row r="1504" spans="1:15" s="552" customFormat="1" ht="15" customHeight="1" x14ac:dyDescent="0.25">
      <c r="A1504" s="543"/>
      <c r="B1504" s="544" t="s">
        <v>658</v>
      </c>
      <c r="C1504" s="513">
        <v>2692</v>
      </c>
      <c r="D1504" s="545" t="s">
        <v>685</v>
      </c>
      <c r="E1504" s="514" t="s">
        <v>686</v>
      </c>
      <c r="F1504" s="546">
        <v>6.0000000000000001E-3</v>
      </c>
      <c r="G1504" s="547">
        <v>9.82</v>
      </c>
      <c r="H1504" s="548">
        <f t="shared" si="195"/>
        <v>5.892E-2</v>
      </c>
      <c r="I1504" s="547"/>
      <c r="J1504" s="549"/>
      <c r="K1504" s="548"/>
      <c r="L1504" s="547"/>
      <c r="M1504" s="549"/>
      <c r="N1504" s="550"/>
      <c r="O1504" s="551"/>
    </row>
    <row r="1505" spans="1:15" s="552" customFormat="1" ht="15" customHeight="1" x14ac:dyDescent="0.25">
      <c r="A1505" s="543"/>
      <c r="B1505" s="544" t="s">
        <v>658</v>
      </c>
      <c r="C1505" s="513">
        <v>4491</v>
      </c>
      <c r="D1505" s="545" t="s">
        <v>659</v>
      </c>
      <c r="E1505" s="514" t="s">
        <v>98</v>
      </c>
      <c r="F1505" s="546">
        <v>1.04</v>
      </c>
      <c r="G1505" s="547">
        <v>3.25</v>
      </c>
      <c r="H1505" s="548">
        <f>F1505*G1505</f>
        <v>3.38</v>
      </c>
      <c r="I1505" s="547"/>
      <c r="J1505" s="549"/>
      <c r="K1505" s="548"/>
      <c r="L1505" s="547"/>
      <c r="M1505" s="549"/>
      <c r="N1505" s="550"/>
      <c r="O1505" s="551"/>
    </row>
    <row r="1506" spans="1:15" s="552" customFormat="1" ht="15" customHeight="1" x14ac:dyDescent="0.25">
      <c r="A1506" s="543"/>
      <c r="B1506" s="544" t="s">
        <v>657</v>
      </c>
      <c r="C1506" s="513">
        <v>4506</v>
      </c>
      <c r="D1506" s="545" t="s">
        <v>687</v>
      </c>
      <c r="E1506" s="514" t="s">
        <v>98</v>
      </c>
      <c r="F1506" s="546">
        <v>0.55000000000000004</v>
      </c>
      <c r="G1506" s="547">
        <v>2.0099999999999998</v>
      </c>
      <c r="H1506" s="548">
        <f>F1506*G1506</f>
        <v>1.1054999999999999</v>
      </c>
      <c r="I1506" s="547"/>
      <c r="J1506" s="549"/>
      <c r="K1506" s="548"/>
      <c r="L1506" s="547"/>
      <c r="M1506" s="549"/>
      <c r="N1506" s="550"/>
      <c r="O1506" s="551"/>
    </row>
    <row r="1507" spans="1:15" s="552" customFormat="1" ht="15" customHeight="1" x14ac:dyDescent="0.25">
      <c r="A1507" s="543"/>
      <c r="B1507" s="544" t="s">
        <v>658</v>
      </c>
      <c r="C1507" s="513">
        <v>5068</v>
      </c>
      <c r="D1507" s="545" t="s">
        <v>688</v>
      </c>
      <c r="E1507" s="514" t="s">
        <v>97</v>
      </c>
      <c r="F1507" s="546">
        <v>0.27</v>
      </c>
      <c r="G1507" s="547">
        <v>6.99</v>
      </c>
      <c r="H1507" s="548">
        <f>F1507*G1507</f>
        <v>1.8873000000000002</v>
      </c>
      <c r="I1507" s="547"/>
      <c r="J1507" s="549"/>
      <c r="K1507" s="548"/>
      <c r="L1507" s="547"/>
      <c r="M1507" s="549"/>
      <c r="N1507" s="550"/>
      <c r="O1507" s="551"/>
    </row>
    <row r="1508" spans="1:15" s="552" customFormat="1" ht="15" customHeight="1" x14ac:dyDescent="0.25">
      <c r="A1508" s="543"/>
      <c r="B1508" s="544" t="s">
        <v>658</v>
      </c>
      <c r="C1508" s="513">
        <v>6189</v>
      </c>
      <c r="D1508" s="545" t="s">
        <v>689</v>
      </c>
      <c r="E1508" s="514" t="s">
        <v>98</v>
      </c>
      <c r="F1508" s="546">
        <v>0.31</v>
      </c>
      <c r="G1508" s="547">
        <v>7.33</v>
      </c>
      <c r="H1508" s="548">
        <f>F1508*G1508</f>
        <v>2.2723</v>
      </c>
      <c r="I1508" s="547"/>
      <c r="J1508" s="549"/>
      <c r="K1508" s="548"/>
      <c r="L1508" s="547"/>
      <c r="M1508" s="549"/>
      <c r="N1508" s="550"/>
      <c r="O1508" s="551"/>
    </row>
    <row r="1509" spans="1:15" s="189" customFormat="1" ht="11.25" x14ac:dyDescent="0.25">
      <c r="A1509" s="173"/>
      <c r="C1509" s="175"/>
      <c r="D1509" s="176"/>
      <c r="E1509" s="177"/>
      <c r="F1509" s="190"/>
      <c r="G1509" s="192"/>
      <c r="H1509" s="193"/>
      <c r="I1509" s="182"/>
      <c r="J1509" s="183"/>
      <c r="K1509" s="184"/>
      <c r="L1509" s="185"/>
      <c r="M1509" s="186"/>
      <c r="N1509" s="187"/>
      <c r="O1509" s="188"/>
    </row>
    <row r="1510" spans="1:15" s="23" customFormat="1" ht="14.25" x14ac:dyDescent="0.2">
      <c r="A1510" s="223" t="s">
        <v>78</v>
      </c>
      <c r="B1510" s="224" t="s">
        <v>690</v>
      </c>
      <c r="C1510" s="225" t="s">
        <v>636</v>
      </c>
      <c r="D1510" s="226" t="s">
        <v>754</v>
      </c>
      <c r="E1510" s="225" t="s">
        <v>95</v>
      </c>
      <c r="F1510" s="515">
        <f>'MEMÓRIA DE CÁLCULO'!G281+'MEMÓRIA DE CÁLCULO'!G283</f>
        <v>0.26950000000000002</v>
      </c>
      <c r="G1510" s="228"/>
      <c r="H1510" s="229">
        <f>ROUND(SUM(H1511:H1517),2)</f>
        <v>266.02</v>
      </c>
      <c r="I1510" s="229">
        <f>ROUND(SUM(I1511:I1517),2)</f>
        <v>46.21</v>
      </c>
      <c r="J1510" s="231">
        <f>(H1510+I1510)</f>
        <v>312.22999999999996</v>
      </c>
      <c r="K1510" s="229">
        <f>F1510*H1510</f>
        <v>71.692390000000003</v>
      </c>
      <c r="L1510" s="230">
        <f>F1510*I1510</f>
        <v>12.453595000000002</v>
      </c>
      <c r="M1510" s="231">
        <f>K1510+L1510</f>
        <v>84.14598500000001</v>
      </c>
      <c r="N1510" s="227">
        <f>M1510*$N$7</f>
        <v>22.786732738000001</v>
      </c>
      <c r="O1510" s="227">
        <f>M1510+N1510</f>
        <v>106.93271773800001</v>
      </c>
    </row>
    <row r="1511" spans="1:15" s="552" customFormat="1" ht="15" customHeight="1" x14ac:dyDescent="0.25">
      <c r="A1511" s="543"/>
      <c r="B1511" s="544" t="s">
        <v>664</v>
      </c>
      <c r="C1511" s="513">
        <v>88291</v>
      </c>
      <c r="D1511" s="545" t="s">
        <v>691</v>
      </c>
      <c r="E1511" s="514" t="s">
        <v>42</v>
      </c>
      <c r="F1511" s="546">
        <v>1.8335999999999999</v>
      </c>
      <c r="G1511" s="547">
        <v>9.4499999999999993</v>
      </c>
      <c r="H1511" s="548"/>
      <c r="I1511" s="547">
        <f>F1511*G1511</f>
        <v>17.327519999999996</v>
      </c>
      <c r="J1511" s="549"/>
      <c r="K1511" s="548"/>
      <c r="L1511" s="547"/>
      <c r="M1511" s="549"/>
      <c r="N1511" s="550"/>
      <c r="O1511" s="551"/>
    </row>
    <row r="1512" spans="1:15" s="552" customFormat="1" ht="15" customHeight="1" x14ac:dyDescent="0.25">
      <c r="A1512" s="543"/>
      <c r="B1512" s="544" t="s">
        <v>658</v>
      </c>
      <c r="C1512" s="513">
        <v>6111</v>
      </c>
      <c r="D1512" s="545" t="s">
        <v>670</v>
      </c>
      <c r="E1512" s="514" t="s">
        <v>42</v>
      </c>
      <c r="F1512" s="546">
        <v>3.2378</v>
      </c>
      <c r="G1512" s="547">
        <v>8.92</v>
      </c>
      <c r="H1512" s="548"/>
      <c r="I1512" s="547">
        <f>F1512*G1512</f>
        <v>28.881176</v>
      </c>
      <c r="J1512" s="549"/>
      <c r="K1512" s="548"/>
      <c r="L1512" s="547"/>
      <c r="M1512" s="549"/>
      <c r="N1512" s="550"/>
      <c r="O1512" s="551"/>
    </row>
    <row r="1513" spans="1:15" s="552" customFormat="1" ht="15" customHeight="1" x14ac:dyDescent="0.25">
      <c r="A1513" s="543"/>
      <c r="B1513" s="544" t="s">
        <v>657</v>
      </c>
      <c r="C1513" s="513">
        <v>370</v>
      </c>
      <c r="D1513" s="545" t="s">
        <v>692</v>
      </c>
      <c r="E1513" s="514" t="s">
        <v>95</v>
      </c>
      <c r="F1513" s="546">
        <v>0.8669</v>
      </c>
      <c r="G1513" s="547">
        <v>56.58</v>
      </c>
      <c r="H1513" s="548">
        <f t="shared" ref="H1513:H1514" si="196">F1513*G1513</f>
        <v>49.049202000000001</v>
      </c>
      <c r="I1513" s="547"/>
      <c r="J1513" s="549"/>
      <c r="K1513" s="548"/>
      <c r="L1513" s="547"/>
      <c r="M1513" s="549"/>
      <c r="N1513" s="550"/>
      <c r="O1513" s="551"/>
    </row>
    <row r="1514" spans="1:15" s="552" customFormat="1" ht="15" customHeight="1" x14ac:dyDescent="0.25">
      <c r="A1514" s="543"/>
      <c r="B1514" s="544" t="s">
        <v>658</v>
      </c>
      <c r="C1514" s="513">
        <v>1379</v>
      </c>
      <c r="D1514" s="545" t="s">
        <v>693</v>
      </c>
      <c r="E1514" s="514" t="s">
        <v>694</v>
      </c>
      <c r="F1514" s="546">
        <v>349</v>
      </c>
      <c r="G1514" s="547">
        <v>0.5</v>
      </c>
      <c r="H1514" s="548">
        <f t="shared" si="196"/>
        <v>174.5</v>
      </c>
      <c r="I1514" s="547"/>
      <c r="J1514" s="549"/>
      <c r="K1514" s="548"/>
      <c r="L1514" s="547"/>
      <c r="M1514" s="549"/>
      <c r="N1514" s="550"/>
      <c r="O1514" s="551"/>
    </row>
    <row r="1515" spans="1:15" s="552" customFormat="1" ht="15" customHeight="1" x14ac:dyDescent="0.25">
      <c r="A1515" s="543"/>
      <c r="B1515" s="544" t="s">
        <v>657</v>
      </c>
      <c r="C1515" s="513">
        <v>4718</v>
      </c>
      <c r="D1515" s="545" t="s">
        <v>695</v>
      </c>
      <c r="E1515" s="514" t="s">
        <v>696</v>
      </c>
      <c r="F1515" s="546">
        <v>0.20899999999999999</v>
      </c>
      <c r="G1515" s="547">
        <v>42.13</v>
      </c>
      <c r="H1515" s="548">
        <f>F1515*G1515</f>
        <v>8.8051700000000004</v>
      </c>
      <c r="I1515" s="547"/>
      <c r="J1515" s="549"/>
      <c r="K1515" s="548"/>
      <c r="L1515" s="547"/>
      <c r="M1515" s="549"/>
      <c r="N1515" s="550"/>
      <c r="O1515" s="551"/>
    </row>
    <row r="1516" spans="1:15" s="552" customFormat="1" ht="15" customHeight="1" x14ac:dyDescent="0.25">
      <c r="A1516" s="543"/>
      <c r="B1516" s="544" t="s">
        <v>658</v>
      </c>
      <c r="C1516" s="513">
        <v>4721</v>
      </c>
      <c r="D1516" s="545" t="s">
        <v>697</v>
      </c>
      <c r="E1516" s="514" t="s">
        <v>95</v>
      </c>
      <c r="F1516" s="546">
        <v>0.627</v>
      </c>
      <c r="G1516" s="547">
        <v>46.94</v>
      </c>
      <c r="H1516" s="548">
        <f>F1516*G1516</f>
        <v>29.431379999999997</v>
      </c>
      <c r="I1516" s="547"/>
      <c r="J1516" s="549"/>
      <c r="K1516" s="548"/>
      <c r="L1516" s="547"/>
      <c r="M1516" s="549"/>
      <c r="N1516" s="550"/>
      <c r="O1516" s="551"/>
    </row>
    <row r="1517" spans="1:15" s="552" customFormat="1" ht="15" customHeight="1" x14ac:dyDescent="0.25">
      <c r="A1517" s="543"/>
      <c r="B1517" s="544" t="s">
        <v>657</v>
      </c>
      <c r="C1517" s="513">
        <v>10533</v>
      </c>
      <c r="D1517" s="545" t="s">
        <v>698</v>
      </c>
      <c r="E1517" s="514" t="s">
        <v>667</v>
      </c>
      <c r="F1517" s="546">
        <v>1.8335999999999999</v>
      </c>
      <c r="G1517" s="547">
        <v>2.31</v>
      </c>
      <c r="H1517" s="548">
        <f>F1517*G1517</f>
        <v>4.2356160000000003</v>
      </c>
      <c r="I1517" s="547"/>
      <c r="J1517" s="549"/>
      <c r="K1517" s="548"/>
      <c r="L1517" s="547"/>
      <c r="M1517" s="549"/>
      <c r="N1517" s="550"/>
      <c r="O1517" s="551"/>
    </row>
    <row r="1518" spans="1:15" s="23" customFormat="1" ht="14.25" x14ac:dyDescent="0.2">
      <c r="A1518" s="134"/>
      <c r="B1518" s="129"/>
      <c r="C1518" s="29"/>
      <c r="D1518" s="117" t="s">
        <v>83</v>
      </c>
      <c r="E1518" s="30"/>
      <c r="F1518" s="118"/>
      <c r="G1518" s="31"/>
      <c r="H1518" s="104"/>
      <c r="I1518" s="27"/>
      <c r="J1518" s="105"/>
      <c r="K1518" s="104"/>
      <c r="L1518" s="27"/>
      <c r="M1518" s="105"/>
      <c r="N1518" s="92"/>
      <c r="O1518" s="92"/>
    </row>
    <row r="1519" spans="1:15" s="23" customFormat="1" ht="14.25" x14ac:dyDescent="0.2">
      <c r="A1519" s="223" t="s">
        <v>78</v>
      </c>
      <c r="B1519" s="224" t="s">
        <v>699</v>
      </c>
      <c r="C1519" s="225" t="s">
        <v>637</v>
      </c>
      <c r="D1519" s="226" t="s">
        <v>755</v>
      </c>
      <c r="E1519" s="225" t="s">
        <v>95</v>
      </c>
      <c r="F1519" s="515">
        <f>F1510</f>
        <v>0.26950000000000002</v>
      </c>
      <c r="G1519" s="228"/>
      <c r="H1519" s="229">
        <f>ROUND(SUM(H1520:H1522),2)</f>
        <v>0.33</v>
      </c>
      <c r="I1519" s="229">
        <f>ROUND(SUM(I1520:I1522),2)</f>
        <v>60.88</v>
      </c>
      <c r="J1519" s="231">
        <f>(H1519+I1519)</f>
        <v>61.21</v>
      </c>
      <c r="K1519" s="229">
        <f>F1519*H1519</f>
        <v>8.8935000000000014E-2</v>
      </c>
      <c r="L1519" s="230">
        <f>F1519*I1519</f>
        <v>16.407160000000001</v>
      </c>
      <c r="M1519" s="231">
        <f>K1519+L1519</f>
        <v>16.496095</v>
      </c>
      <c r="N1519" s="227">
        <f>M1519*$N$7</f>
        <v>4.4671425259999999</v>
      </c>
      <c r="O1519" s="227">
        <f>M1519+N1519</f>
        <v>20.963237526</v>
      </c>
    </row>
    <row r="1520" spans="1:15" s="552" customFormat="1" ht="15" customHeight="1" x14ac:dyDescent="0.25">
      <c r="A1520" s="543"/>
      <c r="B1520" s="544" t="s">
        <v>658</v>
      </c>
      <c r="C1520" s="513">
        <v>4750</v>
      </c>
      <c r="D1520" s="545" t="s">
        <v>679</v>
      </c>
      <c r="E1520" s="514" t="s">
        <v>42</v>
      </c>
      <c r="F1520" s="546">
        <v>1.65</v>
      </c>
      <c r="G1520" s="547">
        <v>12.57</v>
      </c>
      <c r="H1520" s="548"/>
      <c r="I1520" s="547">
        <f>F1520*G1520</f>
        <v>20.740500000000001</v>
      </c>
      <c r="J1520" s="549"/>
      <c r="K1520" s="548"/>
      <c r="L1520" s="547"/>
      <c r="M1520" s="549"/>
      <c r="N1520" s="550"/>
      <c r="O1520" s="551"/>
    </row>
    <row r="1521" spans="1:15" s="552" customFormat="1" ht="15" customHeight="1" x14ac:dyDescent="0.25">
      <c r="A1521" s="543"/>
      <c r="B1521" s="544" t="s">
        <v>658</v>
      </c>
      <c r="C1521" s="513">
        <v>6111</v>
      </c>
      <c r="D1521" s="545" t="s">
        <v>670</v>
      </c>
      <c r="E1521" s="514" t="s">
        <v>42</v>
      </c>
      <c r="F1521" s="546">
        <v>4.5</v>
      </c>
      <c r="G1521" s="547">
        <v>8.92</v>
      </c>
      <c r="H1521" s="548"/>
      <c r="I1521" s="547">
        <f>F1521*G1521</f>
        <v>40.14</v>
      </c>
      <c r="J1521" s="549"/>
      <c r="K1521" s="548"/>
      <c r="L1521" s="547"/>
      <c r="M1521" s="549"/>
      <c r="N1521" s="550"/>
      <c r="O1521" s="551"/>
    </row>
    <row r="1522" spans="1:15" s="552" customFormat="1" ht="15" customHeight="1" x14ac:dyDescent="0.25">
      <c r="A1522" s="543"/>
      <c r="B1522" s="544" t="s">
        <v>658</v>
      </c>
      <c r="C1522" s="513">
        <v>10485</v>
      </c>
      <c r="D1522" s="545" t="s">
        <v>700</v>
      </c>
      <c r="E1522" s="514" t="s">
        <v>91</v>
      </c>
      <c r="F1522" s="546">
        <v>0.3</v>
      </c>
      <c r="G1522" s="547">
        <v>1.0900000000000001</v>
      </c>
      <c r="H1522" s="548">
        <f t="shared" ref="H1522" si="197">F1522*G1522</f>
        <v>0.32700000000000001</v>
      </c>
      <c r="I1522" s="547"/>
      <c r="J1522" s="549"/>
      <c r="K1522" s="548"/>
      <c r="L1522" s="547"/>
      <c r="M1522" s="549"/>
      <c r="N1522" s="550"/>
      <c r="O1522" s="551"/>
    </row>
    <row r="1523" spans="1:15" s="23" customFormat="1" ht="14.25" x14ac:dyDescent="0.2">
      <c r="A1523" s="134"/>
      <c r="B1523" s="129"/>
      <c r="C1523" s="29"/>
      <c r="D1523" s="117" t="s">
        <v>83</v>
      </c>
      <c r="E1523" s="30"/>
      <c r="F1523" s="118"/>
      <c r="G1523" s="31"/>
      <c r="H1523" s="104"/>
      <c r="I1523" s="27"/>
      <c r="J1523" s="105"/>
      <c r="K1523" s="104"/>
      <c r="L1523" s="27"/>
      <c r="M1523" s="105"/>
      <c r="N1523" s="92"/>
      <c r="O1523" s="92"/>
    </row>
    <row r="1524" spans="1:15" s="23" customFormat="1" ht="14.25" x14ac:dyDescent="0.2">
      <c r="A1524" s="223" t="s">
        <v>78</v>
      </c>
      <c r="B1524" s="224" t="s">
        <v>701</v>
      </c>
      <c r="C1524" s="225" t="s">
        <v>638</v>
      </c>
      <c r="D1524" s="226" t="s">
        <v>756</v>
      </c>
      <c r="E1524" s="225" t="s">
        <v>97</v>
      </c>
      <c r="F1524" s="515">
        <f>F1519</f>
        <v>0.26950000000000002</v>
      </c>
      <c r="G1524" s="228"/>
      <c r="H1524" s="229">
        <f>ROUND(SUM(H1525:H1529),2)</f>
        <v>296.20999999999998</v>
      </c>
      <c r="I1524" s="229">
        <f>ROUND(SUM(I1525:I1529),2)</f>
        <v>150.43</v>
      </c>
      <c r="J1524" s="231">
        <f>(H1524+I1524)</f>
        <v>446.64</v>
      </c>
      <c r="K1524" s="229">
        <f>F1524*H1524</f>
        <v>79.828594999999993</v>
      </c>
      <c r="L1524" s="230">
        <f>F1524*I1524</f>
        <v>40.540885000000003</v>
      </c>
      <c r="M1524" s="231">
        <f>K1524+L1524</f>
        <v>120.36948</v>
      </c>
      <c r="N1524" s="227">
        <f>M1524*$N$7</f>
        <v>32.596055183999994</v>
      </c>
      <c r="O1524" s="227">
        <f>M1524+N1524</f>
        <v>152.96553518399998</v>
      </c>
    </row>
    <row r="1525" spans="1:15" s="552" customFormat="1" ht="15" customHeight="1" x14ac:dyDescent="0.25">
      <c r="A1525" s="543"/>
      <c r="B1525" s="544" t="s">
        <v>658</v>
      </c>
      <c r="C1525" s="513">
        <v>378</v>
      </c>
      <c r="D1525" s="545" t="s">
        <v>702</v>
      </c>
      <c r="E1525" s="514" t="s">
        <v>42</v>
      </c>
      <c r="F1525" s="546">
        <v>7</v>
      </c>
      <c r="G1525" s="547">
        <v>12.57</v>
      </c>
      <c r="H1525" s="548"/>
      <c r="I1525" s="547">
        <f>F1525*G1525</f>
        <v>87.990000000000009</v>
      </c>
      <c r="J1525" s="549"/>
      <c r="K1525" s="548"/>
      <c r="L1525" s="547"/>
      <c r="M1525" s="549"/>
      <c r="N1525" s="550"/>
      <c r="O1525" s="551"/>
    </row>
    <row r="1526" spans="1:15" s="552" customFormat="1" ht="15" customHeight="1" x14ac:dyDescent="0.25">
      <c r="A1526" s="543"/>
      <c r="B1526" s="544" t="s">
        <v>658</v>
      </c>
      <c r="C1526" s="513">
        <v>6111</v>
      </c>
      <c r="D1526" s="545" t="s">
        <v>670</v>
      </c>
      <c r="E1526" s="514" t="s">
        <v>42</v>
      </c>
      <c r="F1526" s="546">
        <v>7</v>
      </c>
      <c r="G1526" s="547">
        <v>8.92</v>
      </c>
      <c r="H1526" s="548"/>
      <c r="I1526" s="547">
        <f>F1526*G1526</f>
        <v>62.44</v>
      </c>
      <c r="J1526" s="549"/>
      <c r="K1526" s="548"/>
      <c r="L1526" s="547"/>
      <c r="M1526" s="549"/>
      <c r="N1526" s="550"/>
      <c r="O1526" s="551"/>
    </row>
    <row r="1527" spans="1:15" s="552" customFormat="1" ht="15" customHeight="1" x14ac:dyDescent="0.25">
      <c r="A1527" s="543"/>
      <c r="B1527" s="544" t="s">
        <v>657</v>
      </c>
      <c r="C1527" s="513">
        <v>27</v>
      </c>
      <c r="D1527" s="545" t="s">
        <v>703</v>
      </c>
      <c r="E1527" s="514" t="s">
        <v>97</v>
      </c>
      <c r="F1527" s="546">
        <v>55</v>
      </c>
      <c r="G1527" s="547">
        <v>3.38</v>
      </c>
      <c r="H1527" s="548">
        <f t="shared" ref="H1527:H1529" si="198">F1527*G1527</f>
        <v>185.9</v>
      </c>
      <c r="I1527" s="547"/>
      <c r="J1527" s="549"/>
      <c r="K1527" s="548"/>
      <c r="L1527" s="547"/>
      <c r="M1527" s="549"/>
      <c r="N1527" s="550"/>
      <c r="O1527" s="551"/>
    </row>
    <row r="1528" spans="1:15" s="552" customFormat="1" ht="15" customHeight="1" x14ac:dyDescent="0.25">
      <c r="A1528" s="543"/>
      <c r="B1528" s="544" t="s">
        <v>658</v>
      </c>
      <c r="C1528" s="513">
        <v>33</v>
      </c>
      <c r="D1528" s="545" t="s">
        <v>704</v>
      </c>
      <c r="E1528" s="514" t="s">
        <v>97</v>
      </c>
      <c r="F1528" s="546">
        <v>22</v>
      </c>
      <c r="G1528" s="547">
        <v>4.18</v>
      </c>
      <c r="H1528" s="548">
        <f t="shared" si="198"/>
        <v>91.96</v>
      </c>
      <c r="I1528" s="547"/>
      <c r="J1528" s="549"/>
      <c r="K1528" s="548"/>
      <c r="L1528" s="547"/>
      <c r="M1528" s="549"/>
      <c r="N1528" s="550"/>
      <c r="O1528" s="551"/>
    </row>
    <row r="1529" spans="1:15" s="552" customFormat="1" ht="15" customHeight="1" x14ac:dyDescent="0.25">
      <c r="A1529" s="543"/>
      <c r="B1529" s="544" t="s">
        <v>657</v>
      </c>
      <c r="C1529" s="513">
        <v>337</v>
      </c>
      <c r="D1529" s="545" t="s">
        <v>705</v>
      </c>
      <c r="E1529" s="514" t="s">
        <v>97</v>
      </c>
      <c r="F1529" s="546">
        <v>2.5</v>
      </c>
      <c r="G1529" s="547">
        <v>7.34</v>
      </c>
      <c r="H1529" s="548">
        <f t="shared" si="198"/>
        <v>18.350000000000001</v>
      </c>
      <c r="I1529" s="547"/>
      <c r="J1529" s="549"/>
      <c r="K1529" s="548"/>
      <c r="L1529" s="547"/>
      <c r="M1529" s="549"/>
      <c r="N1529" s="550"/>
      <c r="O1529" s="551"/>
    </row>
    <row r="1530" spans="1:15" s="23" customFormat="1" ht="14.25" x14ac:dyDescent="0.2">
      <c r="A1530" s="134"/>
      <c r="B1530" s="129"/>
      <c r="C1530" s="29"/>
      <c r="D1530" s="117" t="s">
        <v>83</v>
      </c>
      <c r="E1530" s="30"/>
      <c r="F1530" s="118"/>
      <c r="G1530" s="31"/>
      <c r="H1530" s="104"/>
      <c r="I1530" s="27"/>
      <c r="J1530" s="105"/>
      <c r="K1530" s="104"/>
      <c r="L1530" s="27"/>
      <c r="M1530" s="105"/>
      <c r="N1530" s="92"/>
      <c r="O1530" s="92"/>
    </row>
    <row r="1531" spans="1:15" s="23" customFormat="1" ht="14.25" x14ac:dyDescent="0.2">
      <c r="A1531" s="135"/>
      <c r="B1531" s="120"/>
      <c r="C1531" s="122"/>
      <c r="D1531" s="124" t="s">
        <v>1002</v>
      </c>
      <c r="E1531" s="122"/>
      <c r="F1531" s="90"/>
      <c r="G1531" s="116"/>
      <c r="H1531" s="102"/>
      <c r="I1531" s="35"/>
      <c r="J1531" s="103"/>
      <c r="K1531" s="102"/>
      <c r="L1531" s="35"/>
      <c r="M1531" s="103"/>
      <c r="N1531" s="90"/>
      <c r="O1531" s="90"/>
    </row>
    <row r="1532" spans="1:15" s="23" customFormat="1" ht="33.75" x14ac:dyDescent="0.2">
      <c r="A1532" s="223" t="s">
        <v>78</v>
      </c>
      <c r="B1532" s="224">
        <v>84215</v>
      </c>
      <c r="C1532" s="225" t="s">
        <v>639</v>
      </c>
      <c r="D1532" s="226" t="s">
        <v>753</v>
      </c>
      <c r="E1532" s="225" t="s">
        <v>94</v>
      </c>
      <c r="F1532" s="515">
        <f>'MEMÓRIA DE CÁLCULO'!H282</f>
        <v>1.7999999999999998</v>
      </c>
      <c r="G1532" s="228"/>
      <c r="H1532" s="229">
        <f>ROUND(SUM(H1533:H1540),2)</f>
        <v>13.68</v>
      </c>
      <c r="I1532" s="229">
        <f>ROUND(SUM(I1533:I1540),2)</f>
        <v>13.61</v>
      </c>
      <c r="J1532" s="231">
        <f>(H1532+I1532)</f>
        <v>27.29</v>
      </c>
      <c r="K1532" s="229">
        <f>F1532*H1532</f>
        <v>24.623999999999999</v>
      </c>
      <c r="L1532" s="230">
        <f>F1532*I1532</f>
        <v>24.497999999999998</v>
      </c>
      <c r="M1532" s="231">
        <f>K1532+L1532</f>
        <v>49.122</v>
      </c>
      <c r="N1532" s="227">
        <f>M1532*$N$7</f>
        <v>13.3022376</v>
      </c>
      <c r="O1532" s="227">
        <f>M1532+N1532</f>
        <v>62.424237599999998</v>
      </c>
    </row>
    <row r="1533" spans="1:15" s="552" customFormat="1" ht="15" customHeight="1" x14ac:dyDescent="0.25">
      <c r="A1533" s="543"/>
      <c r="B1533" s="544" t="s">
        <v>658</v>
      </c>
      <c r="C1533" s="513">
        <v>6117</v>
      </c>
      <c r="D1533" s="545" t="s">
        <v>682</v>
      </c>
      <c r="E1533" s="514" t="s">
        <v>42</v>
      </c>
      <c r="F1533" s="546">
        <v>0.23</v>
      </c>
      <c r="G1533" s="547">
        <v>9.4499999999999993</v>
      </c>
      <c r="H1533" s="548"/>
      <c r="I1533" s="547">
        <f>F1533*G1533</f>
        <v>2.1734999999999998</v>
      </c>
      <c r="J1533" s="549"/>
      <c r="K1533" s="548"/>
      <c r="L1533" s="547"/>
      <c r="M1533" s="549"/>
      <c r="N1533" s="550"/>
      <c r="O1533" s="551"/>
    </row>
    <row r="1534" spans="1:15" s="552" customFormat="1" ht="15" customHeight="1" x14ac:dyDescent="0.25">
      <c r="A1534" s="543"/>
      <c r="B1534" s="544" t="s">
        <v>658</v>
      </c>
      <c r="C1534" s="513">
        <v>1213</v>
      </c>
      <c r="D1534" s="545" t="s">
        <v>676</v>
      </c>
      <c r="E1534" s="514" t="s">
        <v>42</v>
      </c>
      <c r="F1534" s="546">
        <v>0.91</v>
      </c>
      <c r="G1534" s="547">
        <v>12.57</v>
      </c>
      <c r="H1534" s="548"/>
      <c r="I1534" s="547">
        <f>F1534*G1534</f>
        <v>11.438700000000001</v>
      </c>
      <c r="J1534" s="549"/>
      <c r="K1534" s="548"/>
      <c r="L1534" s="547"/>
      <c r="M1534" s="549"/>
      <c r="N1534" s="550"/>
      <c r="O1534" s="551"/>
    </row>
    <row r="1535" spans="1:15" s="552" customFormat="1" ht="15" customHeight="1" x14ac:dyDescent="0.25">
      <c r="A1535" s="543"/>
      <c r="B1535" s="544" t="s">
        <v>658</v>
      </c>
      <c r="C1535" s="513">
        <v>1357</v>
      </c>
      <c r="D1535" s="545" t="s">
        <v>683</v>
      </c>
      <c r="E1535" s="514" t="s">
        <v>684</v>
      </c>
      <c r="F1535" s="546">
        <v>0.17419999999999999</v>
      </c>
      <c r="G1535" s="547">
        <v>28.54</v>
      </c>
      <c r="H1535" s="548">
        <f t="shared" ref="H1535:H1536" si="199">F1535*G1535</f>
        <v>4.9716679999999993</v>
      </c>
      <c r="I1535" s="547"/>
      <c r="J1535" s="549"/>
      <c r="K1535" s="548"/>
      <c r="L1535" s="547"/>
      <c r="M1535" s="549"/>
      <c r="N1535" s="550"/>
      <c r="O1535" s="551"/>
    </row>
    <row r="1536" spans="1:15" s="552" customFormat="1" ht="15" customHeight="1" x14ac:dyDescent="0.25">
      <c r="A1536" s="543"/>
      <c r="B1536" s="544" t="s">
        <v>658</v>
      </c>
      <c r="C1536" s="513">
        <v>2692</v>
      </c>
      <c r="D1536" s="545" t="s">
        <v>685</v>
      </c>
      <c r="E1536" s="514" t="s">
        <v>686</v>
      </c>
      <c r="F1536" s="546">
        <v>6.0000000000000001E-3</v>
      </c>
      <c r="G1536" s="547">
        <v>9.82</v>
      </c>
      <c r="H1536" s="548">
        <f t="shared" si="199"/>
        <v>5.892E-2</v>
      </c>
      <c r="I1536" s="547"/>
      <c r="J1536" s="549"/>
      <c r="K1536" s="548"/>
      <c r="L1536" s="547"/>
      <c r="M1536" s="549"/>
      <c r="N1536" s="550"/>
      <c r="O1536" s="551"/>
    </row>
    <row r="1537" spans="1:15" s="552" customFormat="1" ht="15" customHeight="1" x14ac:dyDescent="0.25">
      <c r="A1537" s="543"/>
      <c r="B1537" s="544" t="s">
        <v>658</v>
      </c>
      <c r="C1537" s="513">
        <v>4491</v>
      </c>
      <c r="D1537" s="545" t="s">
        <v>659</v>
      </c>
      <c r="E1537" s="514" t="s">
        <v>98</v>
      </c>
      <c r="F1537" s="546">
        <v>1.04</v>
      </c>
      <c r="G1537" s="547">
        <v>3.25</v>
      </c>
      <c r="H1537" s="548">
        <f>F1537*G1537</f>
        <v>3.38</v>
      </c>
      <c r="I1537" s="547"/>
      <c r="J1537" s="549"/>
      <c r="K1537" s="548"/>
      <c r="L1537" s="547"/>
      <c r="M1537" s="549"/>
      <c r="N1537" s="550"/>
      <c r="O1537" s="551"/>
    </row>
    <row r="1538" spans="1:15" s="552" customFormat="1" ht="15" customHeight="1" x14ac:dyDescent="0.25">
      <c r="A1538" s="543"/>
      <c r="B1538" s="544" t="s">
        <v>657</v>
      </c>
      <c r="C1538" s="513">
        <v>4506</v>
      </c>
      <c r="D1538" s="545" t="s">
        <v>687</v>
      </c>
      <c r="E1538" s="514" t="s">
        <v>98</v>
      </c>
      <c r="F1538" s="546">
        <v>0.55000000000000004</v>
      </c>
      <c r="G1538" s="547">
        <v>2.0099999999999998</v>
      </c>
      <c r="H1538" s="548">
        <f>F1538*G1538</f>
        <v>1.1054999999999999</v>
      </c>
      <c r="I1538" s="547"/>
      <c r="J1538" s="549"/>
      <c r="K1538" s="548"/>
      <c r="L1538" s="547"/>
      <c r="M1538" s="549"/>
      <c r="N1538" s="550"/>
      <c r="O1538" s="551"/>
    </row>
    <row r="1539" spans="1:15" s="552" customFormat="1" ht="15" customHeight="1" x14ac:dyDescent="0.25">
      <c r="A1539" s="543"/>
      <c r="B1539" s="544" t="s">
        <v>658</v>
      </c>
      <c r="C1539" s="513">
        <v>5068</v>
      </c>
      <c r="D1539" s="545" t="s">
        <v>688</v>
      </c>
      <c r="E1539" s="514" t="s">
        <v>97</v>
      </c>
      <c r="F1539" s="546">
        <v>0.27</v>
      </c>
      <c r="G1539" s="547">
        <v>6.99</v>
      </c>
      <c r="H1539" s="548">
        <f>F1539*G1539</f>
        <v>1.8873000000000002</v>
      </c>
      <c r="I1539" s="547"/>
      <c r="J1539" s="549"/>
      <c r="K1539" s="548"/>
      <c r="L1539" s="547"/>
      <c r="M1539" s="549"/>
      <c r="N1539" s="550"/>
      <c r="O1539" s="551"/>
    </row>
    <row r="1540" spans="1:15" s="552" customFormat="1" ht="15" customHeight="1" x14ac:dyDescent="0.25">
      <c r="A1540" s="543"/>
      <c r="B1540" s="544" t="s">
        <v>658</v>
      </c>
      <c r="C1540" s="513">
        <v>6189</v>
      </c>
      <c r="D1540" s="545" t="s">
        <v>689</v>
      </c>
      <c r="E1540" s="514" t="s">
        <v>98</v>
      </c>
      <c r="F1540" s="546">
        <v>0.31</v>
      </c>
      <c r="G1540" s="547">
        <v>7.33</v>
      </c>
      <c r="H1540" s="548">
        <f>F1540*G1540</f>
        <v>2.2723</v>
      </c>
      <c r="I1540" s="547"/>
      <c r="J1540" s="549"/>
      <c r="K1540" s="548"/>
      <c r="L1540" s="547"/>
      <c r="M1540" s="549"/>
      <c r="N1540" s="550"/>
      <c r="O1540" s="551"/>
    </row>
    <row r="1541" spans="1:15" s="189" customFormat="1" ht="11.25" x14ac:dyDescent="0.25">
      <c r="A1541" s="173"/>
      <c r="C1541" s="175"/>
      <c r="D1541" s="176"/>
      <c r="E1541" s="177"/>
      <c r="F1541" s="190"/>
      <c r="G1541" s="192"/>
      <c r="H1541" s="193"/>
      <c r="I1541" s="182"/>
      <c r="J1541" s="183"/>
      <c r="K1541" s="184"/>
      <c r="L1541" s="185"/>
      <c r="M1541" s="186"/>
      <c r="N1541" s="187"/>
      <c r="O1541" s="188"/>
    </row>
    <row r="1542" spans="1:15" s="23" customFormat="1" ht="14.25" x14ac:dyDescent="0.2">
      <c r="A1542" s="223" t="s">
        <v>78</v>
      </c>
      <c r="B1542" s="224" t="s">
        <v>690</v>
      </c>
      <c r="C1542" s="225" t="s">
        <v>827</v>
      </c>
      <c r="D1542" s="226" t="s">
        <v>754</v>
      </c>
      <c r="E1542" s="225" t="s">
        <v>95</v>
      </c>
      <c r="F1542" s="515">
        <f>'MEMÓRIA DE CÁLCULO'!G282</f>
        <v>6.0000000000000012E-2</v>
      </c>
      <c r="G1542" s="228"/>
      <c r="H1542" s="229">
        <f>ROUND(SUM(H1543:H1550),2)</f>
        <v>266.02</v>
      </c>
      <c r="I1542" s="229">
        <f>ROUND(SUM(I1543:I1550),2)</f>
        <v>46.21</v>
      </c>
      <c r="J1542" s="231">
        <f>(H1542+I1542)</f>
        <v>312.22999999999996</v>
      </c>
      <c r="K1542" s="229">
        <f>F1542*H1542</f>
        <v>15.961200000000002</v>
      </c>
      <c r="L1542" s="230">
        <f>F1542*I1542</f>
        <v>2.7726000000000006</v>
      </c>
      <c r="M1542" s="231">
        <f>K1542+L1542</f>
        <v>18.733800000000002</v>
      </c>
      <c r="N1542" s="227">
        <f>M1542*$N$7</f>
        <v>5.07311304</v>
      </c>
      <c r="O1542" s="227">
        <f>M1542+N1542</f>
        <v>23.806913040000001</v>
      </c>
    </row>
    <row r="1543" spans="1:15" s="552" customFormat="1" ht="15" customHeight="1" x14ac:dyDescent="0.25">
      <c r="A1543" s="543"/>
      <c r="B1543" s="544" t="s">
        <v>664</v>
      </c>
      <c r="C1543" s="513">
        <v>88291</v>
      </c>
      <c r="D1543" s="545" t="s">
        <v>691</v>
      </c>
      <c r="E1543" s="514" t="s">
        <v>42</v>
      </c>
      <c r="F1543" s="546">
        <v>1.8335999999999999</v>
      </c>
      <c r="G1543" s="547">
        <v>9.4499999999999993</v>
      </c>
      <c r="H1543" s="548"/>
      <c r="I1543" s="547">
        <f>F1543*G1543</f>
        <v>17.327519999999996</v>
      </c>
      <c r="J1543" s="549"/>
      <c r="K1543" s="548"/>
      <c r="L1543" s="547"/>
      <c r="M1543" s="549"/>
      <c r="N1543" s="550"/>
      <c r="O1543" s="551"/>
    </row>
    <row r="1544" spans="1:15" s="552" customFormat="1" ht="15" customHeight="1" x14ac:dyDescent="0.25">
      <c r="A1544" s="543"/>
      <c r="B1544" s="544" t="s">
        <v>658</v>
      </c>
      <c r="C1544" s="513">
        <v>6111</v>
      </c>
      <c r="D1544" s="545" t="s">
        <v>670</v>
      </c>
      <c r="E1544" s="514" t="s">
        <v>42</v>
      </c>
      <c r="F1544" s="546">
        <v>3.2378</v>
      </c>
      <c r="G1544" s="547">
        <v>8.92</v>
      </c>
      <c r="H1544" s="548"/>
      <c r="I1544" s="547">
        <f>F1544*G1544</f>
        <v>28.881176</v>
      </c>
      <c r="J1544" s="549"/>
      <c r="K1544" s="548"/>
      <c r="L1544" s="547"/>
      <c r="M1544" s="549"/>
      <c r="N1544" s="550"/>
      <c r="O1544" s="551"/>
    </row>
    <row r="1545" spans="1:15" s="552" customFormat="1" ht="15" customHeight="1" x14ac:dyDescent="0.25">
      <c r="A1545" s="543"/>
      <c r="B1545" s="544" t="s">
        <v>657</v>
      </c>
      <c r="C1545" s="513">
        <v>370</v>
      </c>
      <c r="D1545" s="545" t="s">
        <v>692</v>
      </c>
      <c r="E1545" s="514" t="s">
        <v>95</v>
      </c>
      <c r="F1545" s="546">
        <v>0.8669</v>
      </c>
      <c r="G1545" s="547">
        <v>56.58</v>
      </c>
      <c r="H1545" s="548">
        <f t="shared" ref="H1545:H1546" si="200">F1545*G1545</f>
        <v>49.049202000000001</v>
      </c>
      <c r="I1545" s="547"/>
      <c r="J1545" s="549"/>
      <c r="K1545" s="548"/>
      <c r="L1545" s="547"/>
      <c r="M1545" s="549"/>
      <c r="N1545" s="550"/>
      <c r="O1545" s="551"/>
    </row>
    <row r="1546" spans="1:15" s="552" customFormat="1" ht="15" customHeight="1" x14ac:dyDescent="0.25">
      <c r="A1546" s="543"/>
      <c r="B1546" s="544" t="s">
        <v>658</v>
      </c>
      <c r="C1546" s="513">
        <v>1379</v>
      </c>
      <c r="D1546" s="545" t="s">
        <v>693</v>
      </c>
      <c r="E1546" s="514" t="s">
        <v>694</v>
      </c>
      <c r="F1546" s="546">
        <v>349</v>
      </c>
      <c r="G1546" s="547">
        <v>0.5</v>
      </c>
      <c r="H1546" s="548">
        <f t="shared" si="200"/>
        <v>174.5</v>
      </c>
      <c r="I1546" s="547"/>
      <c r="J1546" s="549"/>
      <c r="K1546" s="548"/>
      <c r="L1546" s="547"/>
      <c r="M1546" s="549"/>
      <c r="N1546" s="550"/>
      <c r="O1546" s="551"/>
    </row>
    <row r="1547" spans="1:15" s="552" customFormat="1" ht="15" customHeight="1" x14ac:dyDescent="0.25">
      <c r="A1547" s="543"/>
      <c r="B1547" s="544" t="s">
        <v>657</v>
      </c>
      <c r="C1547" s="513">
        <v>4718</v>
      </c>
      <c r="D1547" s="545" t="s">
        <v>695</v>
      </c>
      <c r="E1547" s="514" t="s">
        <v>696</v>
      </c>
      <c r="F1547" s="546">
        <v>0.20899999999999999</v>
      </c>
      <c r="G1547" s="547">
        <v>42.13</v>
      </c>
      <c r="H1547" s="548">
        <f>F1547*G1547</f>
        <v>8.8051700000000004</v>
      </c>
      <c r="I1547" s="547"/>
      <c r="J1547" s="549"/>
      <c r="K1547" s="548"/>
      <c r="L1547" s="547"/>
      <c r="M1547" s="549"/>
      <c r="N1547" s="550"/>
      <c r="O1547" s="551"/>
    </row>
    <row r="1548" spans="1:15" s="552" customFormat="1" ht="15" customHeight="1" x14ac:dyDescent="0.25">
      <c r="A1548" s="543"/>
      <c r="B1548" s="544" t="s">
        <v>658</v>
      </c>
      <c r="C1548" s="513">
        <v>4721</v>
      </c>
      <c r="D1548" s="545" t="s">
        <v>697</v>
      </c>
      <c r="E1548" s="514" t="s">
        <v>95</v>
      </c>
      <c r="F1548" s="546">
        <v>0.627</v>
      </c>
      <c r="G1548" s="547">
        <v>46.94</v>
      </c>
      <c r="H1548" s="548">
        <f>F1548*G1548</f>
        <v>29.431379999999997</v>
      </c>
      <c r="I1548" s="547"/>
      <c r="J1548" s="549"/>
      <c r="K1548" s="548"/>
      <c r="L1548" s="547"/>
      <c r="M1548" s="549"/>
      <c r="N1548" s="550"/>
      <c r="O1548" s="551"/>
    </row>
    <row r="1549" spans="1:15" s="552" customFormat="1" ht="15" customHeight="1" x14ac:dyDescent="0.25">
      <c r="A1549" s="543"/>
      <c r="B1549" s="544" t="s">
        <v>657</v>
      </c>
      <c r="C1549" s="513">
        <v>10533</v>
      </c>
      <c r="D1549" s="545" t="s">
        <v>698</v>
      </c>
      <c r="E1549" s="514" t="s">
        <v>667</v>
      </c>
      <c r="F1549" s="546">
        <v>1.8335999999999999</v>
      </c>
      <c r="G1549" s="547">
        <v>2.31</v>
      </c>
      <c r="H1549" s="548">
        <f>F1549*G1549</f>
        <v>4.2356160000000003</v>
      </c>
      <c r="I1549" s="547"/>
      <c r="J1549" s="549"/>
      <c r="K1549" s="548"/>
      <c r="L1549" s="547"/>
      <c r="M1549" s="549"/>
      <c r="N1549" s="550"/>
      <c r="O1549" s="551"/>
    </row>
    <row r="1550" spans="1:15" s="23" customFormat="1" ht="14.25" x14ac:dyDescent="0.2">
      <c r="A1550" s="134"/>
      <c r="B1550" s="129"/>
      <c r="C1550" s="29"/>
      <c r="D1550" s="117" t="s">
        <v>83</v>
      </c>
      <c r="E1550" s="30"/>
      <c r="F1550" s="118"/>
      <c r="G1550" s="31"/>
      <c r="H1550" s="104"/>
      <c r="I1550" s="27"/>
      <c r="J1550" s="105"/>
      <c r="K1550" s="104"/>
      <c r="L1550" s="27"/>
      <c r="M1550" s="105"/>
      <c r="N1550" s="92"/>
      <c r="O1550" s="92"/>
    </row>
    <row r="1551" spans="1:15" s="23" customFormat="1" ht="14.25" x14ac:dyDescent="0.2">
      <c r="A1551" s="223" t="s">
        <v>78</v>
      </c>
      <c r="B1551" s="224" t="s">
        <v>699</v>
      </c>
      <c r="C1551" s="225" t="s">
        <v>828</v>
      </c>
      <c r="D1551" s="226" t="s">
        <v>755</v>
      </c>
      <c r="E1551" s="225" t="s">
        <v>95</v>
      </c>
      <c r="F1551" s="515">
        <f>F1542</f>
        <v>6.0000000000000012E-2</v>
      </c>
      <c r="G1551" s="228"/>
      <c r="H1551" s="229">
        <f>ROUND(SUM(H1552:H1554),2)</f>
        <v>0.33</v>
      </c>
      <c r="I1551" s="229">
        <f>ROUND(SUM(I1552:I1554),2)</f>
        <v>60.88</v>
      </c>
      <c r="J1551" s="231">
        <f>(H1551+I1551)</f>
        <v>61.21</v>
      </c>
      <c r="K1551" s="229">
        <f>F1551*H1551</f>
        <v>1.9800000000000005E-2</v>
      </c>
      <c r="L1551" s="230">
        <f>F1551*I1551</f>
        <v>3.6528000000000009</v>
      </c>
      <c r="M1551" s="231">
        <f>K1551+L1551</f>
        <v>3.672600000000001</v>
      </c>
      <c r="N1551" s="227">
        <f>M1551*$N$7</f>
        <v>0.99454008000000016</v>
      </c>
      <c r="O1551" s="227">
        <f>M1551+N1551</f>
        <v>4.6671400800000011</v>
      </c>
    </row>
    <row r="1552" spans="1:15" s="552" customFormat="1" ht="15" customHeight="1" x14ac:dyDescent="0.25">
      <c r="A1552" s="543"/>
      <c r="B1552" s="544" t="s">
        <v>658</v>
      </c>
      <c r="C1552" s="513">
        <v>4750</v>
      </c>
      <c r="D1552" s="545" t="s">
        <v>679</v>
      </c>
      <c r="E1552" s="514" t="s">
        <v>42</v>
      </c>
      <c r="F1552" s="546">
        <v>1.65</v>
      </c>
      <c r="G1552" s="547">
        <v>12.57</v>
      </c>
      <c r="H1552" s="548"/>
      <c r="I1552" s="547">
        <f>F1552*G1552</f>
        <v>20.740500000000001</v>
      </c>
      <c r="J1552" s="549"/>
      <c r="K1552" s="548"/>
      <c r="L1552" s="547"/>
      <c r="M1552" s="549"/>
      <c r="N1552" s="550"/>
      <c r="O1552" s="551"/>
    </row>
    <row r="1553" spans="1:15" s="552" customFormat="1" ht="15" customHeight="1" x14ac:dyDescent="0.25">
      <c r="A1553" s="543"/>
      <c r="B1553" s="544" t="s">
        <v>658</v>
      </c>
      <c r="C1553" s="513">
        <v>6111</v>
      </c>
      <c r="D1553" s="545" t="s">
        <v>670</v>
      </c>
      <c r="E1553" s="514" t="s">
        <v>42</v>
      </c>
      <c r="F1553" s="546">
        <v>4.5</v>
      </c>
      <c r="G1553" s="547">
        <v>8.92</v>
      </c>
      <c r="H1553" s="548"/>
      <c r="I1553" s="547">
        <f>F1553*G1553</f>
        <v>40.14</v>
      </c>
      <c r="J1553" s="549"/>
      <c r="K1553" s="548"/>
      <c r="L1553" s="547"/>
      <c r="M1553" s="549"/>
      <c r="N1553" s="550"/>
      <c r="O1553" s="551"/>
    </row>
    <row r="1554" spans="1:15" s="552" customFormat="1" ht="15" customHeight="1" x14ac:dyDescent="0.25">
      <c r="A1554" s="543"/>
      <c r="B1554" s="544" t="s">
        <v>658</v>
      </c>
      <c r="C1554" s="513">
        <v>10485</v>
      </c>
      <c r="D1554" s="545" t="s">
        <v>700</v>
      </c>
      <c r="E1554" s="514" t="s">
        <v>91</v>
      </c>
      <c r="F1554" s="546">
        <v>0.3</v>
      </c>
      <c r="G1554" s="547">
        <v>1.0900000000000001</v>
      </c>
      <c r="H1554" s="548">
        <f t="shared" ref="H1554" si="201">F1554*G1554</f>
        <v>0.32700000000000001</v>
      </c>
      <c r="I1554" s="547"/>
      <c r="J1554" s="549"/>
      <c r="K1554" s="548"/>
      <c r="L1554" s="547"/>
      <c r="M1554" s="549"/>
      <c r="N1554" s="550"/>
      <c r="O1554" s="551"/>
    </row>
    <row r="1555" spans="1:15" s="23" customFormat="1" ht="14.25" x14ac:dyDescent="0.2">
      <c r="A1555" s="134"/>
      <c r="B1555" s="129"/>
      <c r="C1555" s="29"/>
      <c r="D1555" s="117" t="s">
        <v>83</v>
      </c>
      <c r="E1555" s="30"/>
      <c r="F1555" s="118"/>
      <c r="G1555" s="31"/>
      <c r="H1555" s="104"/>
      <c r="I1555" s="27"/>
      <c r="J1555" s="105"/>
      <c r="K1555" s="104"/>
      <c r="L1555" s="27"/>
      <c r="M1555" s="105"/>
      <c r="N1555" s="92"/>
      <c r="O1555" s="92"/>
    </row>
    <row r="1556" spans="1:15" s="23" customFormat="1" ht="14.25" x14ac:dyDescent="0.2">
      <c r="A1556" s="223" t="s">
        <v>78</v>
      </c>
      <c r="B1556" s="224" t="s">
        <v>701</v>
      </c>
      <c r="C1556" s="225" t="s">
        <v>829</v>
      </c>
      <c r="D1556" s="226" t="s">
        <v>756</v>
      </c>
      <c r="E1556" s="225" t="s">
        <v>97</v>
      </c>
      <c r="F1556" s="515">
        <f>F1551</f>
        <v>6.0000000000000012E-2</v>
      </c>
      <c r="G1556" s="228"/>
      <c r="H1556" s="229">
        <f>ROUND(SUM(H1557:H1561),2)</f>
        <v>296.20999999999998</v>
      </c>
      <c r="I1556" s="229">
        <f>ROUND(SUM(I1557:I1561),2)</f>
        <v>150.43</v>
      </c>
      <c r="J1556" s="231">
        <f>(H1556+I1556)</f>
        <v>446.64</v>
      </c>
      <c r="K1556" s="229">
        <f>F1556*H1556</f>
        <v>17.772600000000001</v>
      </c>
      <c r="L1556" s="230">
        <f>F1556*I1556</f>
        <v>9.025800000000002</v>
      </c>
      <c r="M1556" s="231">
        <f>K1556+L1556</f>
        <v>26.798400000000001</v>
      </c>
      <c r="N1556" s="227">
        <f>M1556*$N$7</f>
        <v>7.2570067199999997</v>
      </c>
      <c r="O1556" s="227">
        <f>M1556+N1556</f>
        <v>34.055406720000001</v>
      </c>
    </row>
    <row r="1557" spans="1:15" s="552" customFormat="1" ht="15" customHeight="1" x14ac:dyDescent="0.25">
      <c r="A1557" s="543"/>
      <c r="B1557" s="544" t="s">
        <v>658</v>
      </c>
      <c r="C1557" s="513">
        <v>378</v>
      </c>
      <c r="D1557" s="545" t="s">
        <v>702</v>
      </c>
      <c r="E1557" s="514" t="s">
        <v>42</v>
      </c>
      <c r="F1557" s="546">
        <v>7</v>
      </c>
      <c r="G1557" s="547">
        <v>12.57</v>
      </c>
      <c r="H1557" s="548"/>
      <c r="I1557" s="547">
        <f>F1557*G1557</f>
        <v>87.990000000000009</v>
      </c>
      <c r="J1557" s="549"/>
      <c r="K1557" s="548"/>
      <c r="L1557" s="547"/>
      <c r="M1557" s="549"/>
      <c r="N1557" s="550"/>
      <c r="O1557" s="551"/>
    </row>
    <row r="1558" spans="1:15" s="552" customFormat="1" ht="15" customHeight="1" x14ac:dyDescent="0.25">
      <c r="A1558" s="543"/>
      <c r="B1558" s="544" t="s">
        <v>658</v>
      </c>
      <c r="C1558" s="513">
        <v>6111</v>
      </c>
      <c r="D1558" s="545" t="s">
        <v>670</v>
      </c>
      <c r="E1558" s="514" t="s">
        <v>42</v>
      </c>
      <c r="F1558" s="546">
        <v>7</v>
      </c>
      <c r="G1558" s="547">
        <v>8.92</v>
      </c>
      <c r="H1558" s="548"/>
      <c r="I1558" s="547">
        <f>F1558*G1558</f>
        <v>62.44</v>
      </c>
      <c r="J1558" s="549"/>
      <c r="K1558" s="548"/>
      <c r="L1558" s="547"/>
      <c r="M1558" s="549"/>
      <c r="N1558" s="550"/>
      <c r="O1558" s="551"/>
    </row>
    <row r="1559" spans="1:15" s="552" customFormat="1" ht="15" customHeight="1" x14ac:dyDescent="0.25">
      <c r="A1559" s="543"/>
      <c r="B1559" s="544" t="s">
        <v>657</v>
      </c>
      <c r="C1559" s="513">
        <v>27</v>
      </c>
      <c r="D1559" s="545" t="s">
        <v>703</v>
      </c>
      <c r="E1559" s="514" t="s">
        <v>97</v>
      </c>
      <c r="F1559" s="546">
        <v>55</v>
      </c>
      <c r="G1559" s="547">
        <v>3.38</v>
      </c>
      <c r="H1559" s="548">
        <f t="shared" ref="H1559:H1561" si="202">F1559*G1559</f>
        <v>185.9</v>
      </c>
      <c r="I1559" s="547"/>
      <c r="J1559" s="549"/>
      <c r="K1559" s="548"/>
      <c r="L1559" s="547"/>
      <c r="M1559" s="549"/>
      <c r="N1559" s="550"/>
      <c r="O1559" s="551"/>
    </row>
    <row r="1560" spans="1:15" s="552" customFormat="1" ht="15" customHeight="1" x14ac:dyDescent="0.25">
      <c r="A1560" s="543"/>
      <c r="B1560" s="544" t="s">
        <v>658</v>
      </c>
      <c r="C1560" s="513">
        <v>33</v>
      </c>
      <c r="D1560" s="545" t="s">
        <v>704</v>
      </c>
      <c r="E1560" s="514" t="s">
        <v>97</v>
      </c>
      <c r="F1560" s="546">
        <v>22</v>
      </c>
      <c r="G1560" s="547">
        <v>4.18</v>
      </c>
      <c r="H1560" s="548">
        <f t="shared" si="202"/>
        <v>91.96</v>
      </c>
      <c r="I1560" s="547"/>
      <c r="J1560" s="549"/>
      <c r="K1560" s="548"/>
      <c r="L1560" s="547"/>
      <c r="M1560" s="549"/>
      <c r="N1560" s="550"/>
      <c r="O1560" s="551"/>
    </row>
    <row r="1561" spans="1:15" s="552" customFormat="1" ht="15" customHeight="1" x14ac:dyDescent="0.25">
      <c r="A1561" s="543"/>
      <c r="B1561" s="544" t="s">
        <v>657</v>
      </c>
      <c r="C1561" s="513">
        <v>337</v>
      </c>
      <c r="D1561" s="545" t="s">
        <v>705</v>
      </c>
      <c r="E1561" s="514" t="s">
        <v>97</v>
      </c>
      <c r="F1561" s="546">
        <v>2.5</v>
      </c>
      <c r="G1561" s="547">
        <v>7.34</v>
      </c>
      <c r="H1561" s="548">
        <f t="shared" si="202"/>
        <v>18.350000000000001</v>
      </c>
      <c r="I1561" s="547"/>
      <c r="J1561" s="549"/>
      <c r="K1561" s="548"/>
      <c r="L1561" s="547"/>
      <c r="M1561" s="549"/>
      <c r="N1561" s="550"/>
      <c r="O1561" s="551"/>
    </row>
    <row r="1562" spans="1:15" s="23" customFormat="1" ht="14.25" x14ac:dyDescent="0.2">
      <c r="A1562" s="134"/>
      <c r="B1562" s="129"/>
      <c r="C1562" s="29"/>
      <c r="D1562" s="117" t="s">
        <v>83</v>
      </c>
      <c r="E1562" s="30"/>
      <c r="F1562" s="118"/>
      <c r="G1562" s="31"/>
      <c r="H1562" s="104"/>
      <c r="I1562" s="27"/>
      <c r="J1562" s="105"/>
      <c r="K1562" s="104"/>
      <c r="L1562" s="27"/>
      <c r="M1562" s="105"/>
      <c r="N1562" s="92"/>
      <c r="O1562" s="92"/>
    </row>
    <row r="1563" spans="1:15" s="266" customFormat="1" ht="12.75" x14ac:dyDescent="0.2">
      <c r="A1563" s="516"/>
      <c r="B1563" s="517"/>
      <c r="C1563" s="518" t="s">
        <v>585</v>
      </c>
      <c r="D1563" s="519" t="s">
        <v>101</v>
      </c>
      <c r="E1563" s="520"/>
      <c r="F1563" s="519"/>
      <c r="G1563" s="520"/>
      <c r="H1563" s="521"/>
      <c r="I1563" s="522"/>
      <c r="J1563" s="523"/>
      <c r="K1563" s="521"/>
      <c r="L1563" s="522"/>
      <c r="M1563" s="523"/>
      <c r="N1563" s="524"/>
      <c r="O1563" s="525">
        <f>SUM(O1565:O1573)</f>
        <v>647.16252480000003</v>
      </c>
    </row>
    <row r="1564" spans="1:15" s="23" customFormat="1" ht="14.25" x14ac:dyDescent="0.2">
      <c r="A1564" s="134"/>
      <c r="B1564" s="130"/>
      <c r="C1564" s="34"/>
      <c r="D1564" s="117" t="s">
        <v>83</v>
      </c>
      <c r="E1564" s="30"/>
      <c r="F1564" s="118"/>
      <c r="G1564" s="31"/>
      <c r="H1564" s="104"/>
      <c r="I1564" s="27"/>
      <c r="J1564" s="105"/>
      <c r="K1564" s="104"/>
      <c r="L1564" s="27"/>
      <c r="M1564" s="105"/>
      <c r="N1564" s="92"/>
      <c r="O1564" s="92"/>
    </row>
    <row r="1565" spans="1:15" s="23" customFormat="1" ht="14.25" x14ac:dyDescent="0.2">
      <c r="A1565" s="135"/>
      <c r="B1565" s="120"/>
      <c r="C1565" s="122"/>
      <c r="D1565" s="124" t="s">
        <v>102</v>
      </c>
      <c r="E1565" s="122"/>
      <c r="F1565" s="90"/>
      <c r="G1565" s="116"/>
      <c r="H1565" s="102"/>
      <c r="I1565" s="35"/>
      <c r="J1565" s="103"/>
      <c r="K1565" s="102"/>
      <c r="L1565" s="35"/>
      <c r="M1565" s="103"/>
      <c r="N1565" s="90"/>
      <c r="O1565" s="90"/>
    </row>
    <row r="1566" spans="1:15" s="23" customFormat="1" ht="14.25" x14ac:dyDescent="0.2">
      <c r="A1566" s="134"/>
      <c r="B1566" s="130"/>
      <c r="C1566" s="34"/>
      <c r="D1566" s="117" t="s">
        <v>83</v>
      </c>
      <c r="E1566" s="30"/>
      <c r="F1566" s="118"/>
      <c r="G1566" s="31"/>
      <c r="H1566" s="104"/>
      <c r="I1566" s="27"/>
      <c r="J1566" s="105"/>
      <c r="K1566" s="104"/>
      <c r="L1566" s="27"/>
      <c r="M1566" s="105"/>
      <c r="N1566" s="92"/>
      <c r="O1566" s="92"/>
    </row>
    <row r="1567" spans="1:15" s="23" customFormat="1" ht="45" x14ac:dyDescent="0.2">
      <c r="A1567" s="223" t="s">
        <v>78</v>
      </c>
      <c r="B1567" s="224" t="s">
        <v>82</v>
      </c>
      <c r="C1567" s="225" t="s">
        <v>586</v>
      </c>
      <c r="D1567" s="226" t="s">
        <v>1084</v>
      </c>
      <c r="E1567" s="225" t="s">
        <v>94</v>
      </c>
      <c r="F1567" s="515">
        <f>'MEMÓRIA DE CÁLCULO'!D278+'MEMÓRIA DE CÁLCULO'!D279</f>
        <v>9.9</v>
      </c>
      <c r="G1567" s="228"/>
      <c r="H1567" s="229">
        <f>ROUND(SUM(H1568:H1571),2)</f>
        <v>26.94</v>
      </c>
      <c r="I1567" s="229">
        <f>ROUND(SUM(I1568:I1571),2)</f>
        <v>24.5</v>
      </c>
      <c r="J1567" s="231">
        <f>(H1567+I1567)</f>
        <v>51.44</v>
      </c>
      <c r="K1567" s="229">
        <f>F1567*H1567</f>
        <v>266.70600000000002</v>
      </c>
      <c r="L1567" s="230">
        <f>F1567*I1567</f>
        <v>242.55</v>
      </c>
      <c r="M1567" s="231">
        <f>K1567+L1567</f>
        <v>509.25600000000003</v>
      </c>
      <c r="N1567" s="227">
        <f>M1567*$N$7</f>
        <v>137.9065248</v>
      </c>
      <c r="O1567" s="227">
        <f>M1567+N1567</f>
        <v>647.16252480000003</v>
      </c>
    </row>
    <row r="1568" spans="1:15" s="552" customFormat="1" ht="15" customHeight="1" x14ac:dyDescent="0.25">
      <c r="A1568" s="543"/>
      <c r="B1568" s="544" t="s">
        <v>664</v>
      </c>
      <c r="C1568" s="513">
        <v>87373</v>
      </c>
      <c r="D1568" s="545" t="s">
        <v>731</v>
      </c>
      <c r="E1568" s="514" t="s">
        <v>732</v>
      </c>
      <c r="F1568" s="546">
        <v>1.38E-2</v>
      </c>
      <c r="G1568" s="547">
        <v>465.2</v>
      </c>
      <c r="H1568" s="548">
        <f t="shared" ref="H1568" si="203">F1568*G1568</f>
        <v>6.4197600000000001</v>
      </c>
      <c r="I1568" s="547"/>
      <c r="J1568" s="549"/>
      <c r="K1568" s="548"/>
      <c r="L1568" s="547"/>
      <c r="M1568" s="549"/>
      <c r="N1568" s="550"/>
      <c r="O1568" s="551"/>
    </row>
    <row r="1569" spans="1:15" s="552" customFormat="1" ht="15" customHeight="1" x14ac:dyDescent="0.25">
      <c r="A1569" s="543"/>
      <c r="B1569" s="544" t="s">
        <v>715</v>
      </c>
      <c r="C1569" s="513">
        <v>4750</v>
      </c>
      <c r="D1569" s="545" t="s">
        <v>714</v>
      </c>
      <c r="E1569" s="514" t="s">
        <v>42</v>
      </c>
      <c r="F1569" s="546">
        <v>1.1399999999999999</v>
      </c>
      <c r="G1569" s="547">
        <v>12.57</v>
      </c>
      <c r="H1569" s="548"/>
      <c r="I1569" s="547">
        <f>F1569*G1569</f>
        <v>14.329799999999999</v>
      </c>
      <c r="J1569" s="549"/>
      <c r="K1569" s="548"/>
      <c r="L1569" s="547"/>
      <c r="M1569" s="549"/>
      <c r="N1569" s="550"/>
      <c r="O1569" s="551"/>
    </row>
    <row r="1570" spans="1:15" s="552" customFormat="1" ht="15" customHeight="1" x14ac:dyDescent="0.25">
      <c r="A1570" s="543"/>
      <c r="B1570" s="544" t="s">
        <v>658</v>
      </c>
      <c r="C1570" s="513">
        <v>6111</v>
      </c>
      <c r="D1570" s="545" t="s">
        <v>670</v>
      </c>
      <c r="E1570" s="514" t="s">
        <v>42</v>
      </c>
      <c r="F1570" s="546">
        <v>1.1399999999999999</v>
      </c>
      <c r="G1570" s="547">
        <v>8.92</v>
      </c>
      <c r="H1570" s="548"/>
      <c r="I1570" s="547">
        <f t="shared" ref="I1570" si="204">F1570*G1570</f>
        <v>10.168799999999999</v>
      </c>
      <c r="J1570" s="549"/>
      <c r="K1570" s="548"/>
      <c r="L1570" s="547"/>
      <c r="M1570" s="549"/>
      <c r="N1570" s="550"/>
      <c r="O1570" s="551"/>
    </row>
    <row r="1571" spans="1:15" s="552" customFormat="1" ht="15" customHeight="1" x14ac:dyDescent="0.25">
      <c r="A1571" s="543"/>
      <c r="B1571" s="544" t="s">
        <v>657</v>
      </c>
      <c r="C1571" s="513">
        <v>7271</v>
      </c>
      <c r="D1571" s="545" t="s">
        <v>733</v>
      </c>
      <c r="E1571" s="514" t="s">
        <v>81</v>
      </c>
      <c r="F1571" s="546">
        <v>54</v>
      </c>
      <c r="G1571" s="547">
        <v>0.38</v>
      </c>
      <c r="H1571" s="548">
        <f>F1571*G1571</f>
        <v>20.52</v>
      </c>
      <c r="I1571" s="547"/>
      <c r="J1571" s="549"/>
      <c r="K1571" s="548"/>
      <c r="L1571" s="547"/>
      <c r="M1571" s="549"/>
      <c r="N1571" s="550"/>
      <c r="O1571" s="551"/>
    </row>
    <row r="1572" spans="1:15" s="167" customFormat="1" ht="11.25" x14ac:dyDescent="0.2">
      <c r="A1572" s="170"/>
      <c r="B1572" s="129"/>
      <c r="C1572" s="29"/>
      <c r="D1572" s="117" t="s">
        <v>83</v>
      </c>
      <c r="E1572" s="30"/>
      <c r="F1572" s="118"/>
      <c r="G1572" s="31"/>
      <c r="H1572" s="104"/>
      <c r="I1572" s="27"/>
      <c r="J1572" s="105"/>
      <c r="K1572" s="104"/>
      <c r="L1572" s="27"/>
      <c r="M1572" s="105"/>
      <c r="N1572" s="92"/>
      <c r="O1572" s="169"/>
    </row>
    <row r="1573" spans="1:15" s="23" customFormat="1" ht="14.25" x14ac:dyDescent="0.2">
      <c r="A1573" s="134"/>
      <c r="B1573" s="129"/>
      <c r="C1573" s="29"/>
      <c r="D1573" s="117" t="s">
        <v>83</v>
      </c>
      <c r="E1573" s="30"/>
      <c r="F1573" s="476"/>
      <c r="G1573" s="477"/>
      <c r="H1573" s="478"/>
      <c r="I1573" s="479"/>
      <c r="J1573" s="480"/>
      <c r="K1573" s="478"/>
      <c r="L1573" s="479"/>
      <c r="M1573" s="480"/>
      <c r="N1573" s="92"/>
      <c r="O1573" s="92"/>
    </row>
    <row r="1574" spans="1:15" s="266" customFormat="1" ht="12.75" x14ac:dyDescent="0.2">
      <c r="A1574" s="516"/>
      <c r="B1574" s="517"/>
      <c r="C1574" s="518" t="s">
        <v>640</v>
      </c>
      <c r="D1574" s="519" t="s">
        <v>103</v>
      </c>
      <c r="E1574" s="520"/>
      <c r="F1574" s="519"/>
      <c r="G1574" s="520"/>
      <c r="H1574" s="521"/>
      <c r="I1574" s="522"/>
      <c r="J1574" s="523"/>
      <c r="K1574" s="521"/>
      <c r="L1574" s="522"/>
      <c r="M1574" s="523"/>
      <c r="N1574" s="524"/>
      <c r="O1574" s="525">
        <f>SUM(O1576:O1591)</f>
        <v>2118.27466224</v>
      </c>
    </row>
    <row r="1575" spans="1:15" s="23" customFormat="1" ht="14.25" x14ac:dyDescent="0.2">
      <c r="A1575" s="134"/>
      <c r="B1575" s="129"/>
      <c r="C1575" s="29"/>
      <c r="D1575" s="117" t="s">
        <v>83</v>
      </c>
      <c r="E1575" s="30"/>
      <c r="F1575" s="118"/>
      <c r="G1575" s="31"/>
      <c r="H1575" s="104"/>
      <c r="I1575" s="27"/>
      <c r="J1575" s="105"/>
      <c r="K1575" s="104"/>
      <c r="L1575" s="27"/>
      <c r="M1575" s="105"/>
      <c r="N1575" s="92"/>
      <c r="O1575" s="92"/>
    </row>
    <row r="1576" spans="1:15" s="23" customFormat="1" ht="33.75" x14ac:dyDescent="0.2">
      <c r="A1576" s="223" t="s">
        <v>78</v>
      </c>
      <c r="B1576" s="224" t="s">
        <v>786</v>
      </c>
      <c r="C1576" s="225" t="s">
        <v>641</v>
      </c>
      <c r="D1576" s="226" t="s">
        <v>788</v>
      </c>
      <c r="E1576" s="225" t="s">
        <v>58</v>
      </c>
      <c r="F1576" s="473">
        <f>0.6*1.8*2</f>
        <v>2.16</v>
      </c>
      <c r="G1576" s="474"/>
      <c r="H1576" s="229">
        <f>ROUND(SUM(H1577:H1581),2)</f>
        <v>473.12</v>
      </c>
      <c r="I1576" s="229">
        <f>ROUND(SUM(I1577:I1581),2)</f>
        <v>41.35</v>
      </c>
      <c r="J1576" s="231">
        <f>(H1576+I1576)</f>
        <v>514.47</v>
      </c>
      <c r="K1576" s="229">
        <f>F1576*H1576</f>
        <v>1021.9392</v>
      </c>
      <c r="L1576" s="230">
        <f>F1576*I1576</f>
        <v>89.316000000000003</v>
      </c>
      <c r="M1576" s="231">
        <f>K1576+L1576</f>
        <v>1111.2552000000001</v>
      </c>
      <c r="N1576" s="227">
        <f>M1576*$N$7</f>
        <v>300.92790816000002</v>
      </c>
      <c r="O1576" s="227">
        <f>M1576+N1576</f>
        <v>1412.1831081600001</v>
      </c>
    </row>
    <row r="1577" spans="1:15" s="552" customFormat="1" ht="15" customHeight="1" x14ac:dyDescent="0.25">
      <c r="A1577" s="543"/>
      <c r="B1577" s="544" t="s">
        <v>715</v>
      </c>
      <c r="C1577" s="513">
        <v>4750</v>
      </c>
      <c r="D1577" s="545" t="s">
        <v>714</v>
      </c>
      <c r="E1577" s="514" t="s">
        <v>42</v>
      </c>
      <c r="F1577" s="546">
        <v>0.5</v>
      </c>
      <c r="G1577" s="547">
        <v>12.57</v>
      </c>
      <c r="H1577" s="548"/>
      <c r="I1577" s="547">
        <f>F1577*G1577</f>
        <v>6.2850000000000001</v>
      </c>
      <c r="J1577" s="549"/>
      <c r="K1577" s="548"/>
      <c r="L1577" s="547"/>
      <c r="M1577" s="549"/>
      <c r="N1577" s="550"/>
      <c r="O1577" s="551"/>
    </row>
    <row r="1578" spans="1:15" s="552" customFormat="1" ht="15" customHeight="1" x14ac:dyDescent="0.25">
      <c r="A1578" s="543"/>
      <c r="B1578" s="544" t="s">
        <v>715</v>
      </c>
      <c r="C1578" s="513">
        <v>6110</v>
      </c>
      <c r="D1578" s="545" t="s">
        <v>780</v>
      </c>
      <c r="E1578" s="514" t="s">
        <v>42</v>
      </c>
      <c r="F1578" s="546">
        <v>1.3</v>
      </c>
      <c r="G1578" s="547">
        <v>11.88</v>
      </c>
      <c r="H1578" s="548"/>
      <c r="I1578" s="547">
        <f t="shared" ref="I1578" si="205">F1578*G1578</f>
        <v>15.444000000000001</v>
      </c>
      <c r="J1578" s="549"/>
      <c r="K1578" s="548"/>
      <c r="L1578" s="547"/>
      <c r="M1578" s="549"/>
      <c r="N1578" s="550"/>
      <c r="O1578" s="551"/>
    </row>
    <row r="1579" spans="1:15" s="552" customFormat="1" ht="15" customHeight="1" x14ac:dyDescent="0.25">
      <c r="A1579" s="543"/>
      <c r="B1579" s="544" t="s">
        <v>658</v>
      </c>
      <c r="C1579" s="513">
        <v>6111</v>
      </c>
      <c r="D1579" s="545" t="s">
        <v>670</v>
      </c>
      <c r="E1579" s="514" t="s">
        <v>42</v>
      </c>
      <c r="F1579" s="546">
        <v>2.2000000000000002</v>
      </c>
      <c r="G1579" s="547">
        <v>8.92</v>
      </c>
      <c r="H1579" s="548"/>
      <c r="I1579" s="547">
        <f t="shared" ref="I1579" si="206">F1579*G1579</f>
        <v>19.624000000000002</v>
      </c>
      <c r="J1579" s="549"/>
      <c r="K1579" s="548"/>
      <c r="L1579" s="547"/>
      <c r="M1579" s="549"/>
      <c r="N1579" s="550"/>
      <c r="O1579" s="551"/>
    </row>
    <row r="1580" spans="1:15" s="552" customFormat="1" ht="15" customHeight="1" x14ac:dyDescent="0.25">
      <c r="A1580" s="543"/>
      <c r="B1580" s="544" t="s">
        <v>664</v>
      </c>
      <c r="C1580" s="513">
        <v>88627</v>
      </c>
      <c r="D1580" s="545" t="s">
        <v>706</v>
      </c>
      <c r="E1580" s="514" t="s">
        <v>233</v>
      </c>
      <c r="F1580" s="546">
        <v>6.0000000000000001E-3</v>
      </c>
      <c r="G1580" s="547">
        <v>392.17</v>
      </c>
      <c r="H1580" s="548">
        <f t="shared" ref="H1580" si="207">F1580*G1580</f>
        <v>2.3530200000000003</v>
      </c>
      <c r="I1580" s="547"/>
      <c r="J1580" s="549"/>
      <c r="K1580" s="548"/>
      <c r="L1580" s="547"/>
      <c r="M1580" s="549"/>
      <c r="N1580" s="550"/>
      <c r="O1580" s="551"/>
    </row>
    <row r="1581" spans="1:15" s="552" customFormat="1" ht="15" customHeight="1" x14ac:dyDescent="0.25">
      <c r="A1581" s="543"/>
      <c r="B1581" s="544" t="s">
        <v>657</v>
      </c>
      <c r="C1581" s="513">
        <v>4914</v>
      </c>
      <c r="D1581" s="545" t="s">
        <v>787</v>
      </c>
      <c r="E1581" s="514" t="s">
        <v>58</v>
      </c>
      <c r="F1581" s="546">
        <v>1</v>
      </c>
      <c r="G1581" s="547">
        <v>470.77</v>
      </c>
      <c r="H1581" s="548">
        <f>F1581*G1581</f>
        <v>470.77</v>
      </c>
      <c r="I1581" s="547"/>
      <c r="J1581" s="549"/>
      <c r="K1581" s="548"/>
      <c r="L1581" s="547"/>
      <c r="M1581" s="549"/>
      <c r="N1581" s="550"/>
      <c r="O1581" s="551"/>
    </row>
    <row r="1582" spans="1:15" s="167" customFormat="1" ht="11.25" x14ac:dyDescent="0.2">
      <c r="A1582" s="170"/>
      <c r="B1582" s="129"/>
      <c r="C1582" s="29"/>
      <c r="D1582" s="117" t="s">
        <v>83</v>
      </c>
      <c r="E1582" s="30"/>
      <c r="F1582" s="118"/>
      <c r="G1582" s="31"/>
      <c r="H1582" s="104"/>
      <c r="I1582" s="27"/>
      <c r="J1582" s="105"/>
      <c r="K1582" s="104"/>
      <c r="L1582" s="27"/>
      <c r="M1582" s="105"/>
      <c r="N1582" s="92"/>
      <c r="O1582" s="169"/>
    </row>
    <row r="1583" spans="1:15" s="23" customFormat="1" ht="14.25" x14ac:dyDescent="0.2">
      <c r="A1583" s="134"/>
      <c r="B1583" s="129"/>
      <c r="C1583" s="29"/>
      <c r="D1583" s="117" t="s">
        <v>83</v>
      </c>
      <c r="E1583" s="30"/>
      <c r="F1583" s="476"/>
      <c r="G1583" s="477"/>
      <c r="H1583" s="478"/>
      <c r="I1583" s="479"/>
      <c r="J1583" s="480"/>
      <c r="K1583" s="478"/>
      <c r="L1583" s="479"/>
      <c r="M1583" s="480"/>
      <c r="N1583" s="92"/>
      <c r="O1583" s="92"/>
    </row>
    <row r="1584" spans="1:15" s="23" customFormat="1" ht="22.5" x14ac:dyDescent="0.2">
      <c r="A1584" s="223" t="s">
        <v>78</v>
      </c>
      <c r="B1584" s="224" t="s">
        <v>786</v>
      </c>
      <c r="C1584" s="225" t="s">
        <v>642</v>
      </c>
      <c r="D1584" s="226" t="s">
        <v>789</v>
      </c>
      <c r="E1584" s="225" t="s">
        <v>58</v>
      </c>
      <c r="F1584" s="473">
        <f>0.9*0.3*4</f>
        <v>1.08</v>
      </c>
      <c r="G1584" s="474"/>
      <c r="H1584" s="229">
        <f>ROUND(SUM(H1585:H1589),2)</f>
        <v>473.12</v>
      </c>
      <c r="I1584" s="229">
        <f>ROUND(SUM(I1585:I1589),2)</f>
        <v>41.35</v>
      </c>
      <c r="J1584" s="231">
        <f>(H1584+I1584)</f>
        <v>514.47</v>
      </c>
      <c r="K1584" s="229">
        <f>F1584*H1584</f>
        <v>510.96960000000001</v>
      </c>
      <c r="L1584" s="230">
        <f>F1584*I1584</f>
        <v>44.658000000000001</v>
      </c>
      <c r="M1584" s="231">
        <f>K1584+L1584</f>
        <v>555.62760000000003</v>
      </c>
      <c r="N1584" s="227">
        <f>M1584*$N$7</f>
        <v>150.46395408000001</v>
      </c>
      <c r="O1584" s="227">
        <f>M1584+N1584</f>
        <v>706.09155408000004</v>
      </c>
    </row>
    <row r="1585" spans="1:15" s="552" customFormat="1" ht="15" customHeight="1" x14ac:dyDescent="0.25">
      <c r="A1585" s="543"/>
      <c r="B1585" s="544" t="s">
        <v>715</v>
      </c>
      <c r="C1585" s="513">
        <v>4750</v>
      </c>
      <c r="D1585" s="545" t="s">
        <v>714</v>
      </c>
      <c r="E1585" s="514" t="s">
        <v>42</v>
      </c>
      <c r="F1585" s="546">
        <v>0.5</v>
      </c>
      <c r="G1585" s="547">
        <v>12.57</v>
      </c>
      <c r="H1585" s="548"/>
      <c r="I1585" s="547">
        <f>F1585*G1585</f>
        <v>6.2850000000000001</v>
      </c>
      <c r="J1585" s="549"/>
      <c r="K1585" s="548"/>
      <c r="L1585" s="547"/>
      <c r="M1585" s="549"/>
      <c r="N1585" s="550"/>
      <c r="O1585" s="551"/>
    </row>
    <row r="1586" spans="1:15" s="552" customFormat="1" ht="15" customHeight="1" x14ac:dyDescent="0.25">
      <c r="A1586" s="543"/>
      <c r="B1586" s="544" t="s">
        <v>715</v>
      </c>
      <c r="C1586" s="513">
        <v>6110</v>
      </c>
      <c r="D1586" s="545" t="s">
        <v>780</v>
      </c>
      <c r="E1586" s="514" t="s">
        <v>42</v>
      </c>
      <c r="F1586" s="546">
        <v>1.3</v>
      </c>
      <c r="G1586" s="547">
        <v>11.88</v>
      </c>
      <c r="H1586" s="548"/>
      <c r="I1586" s="547">
        <f t="shared" ref="I1586:I1587" si="208">F1586*G1586</f>
        <v>15.444000000000001</v>
      </c>
      <c r="J1586" s="549"/>
      <c r="K1586" s="548"/>
      <c r="L1586" s="547"/>
      <c r="M1586" s="549"/>
      <c r="N1586" s="550"/>
      <c r="O1586" s="551"/>
    </row>
    <row r="1587" spans="1:15" s="552" customFormat="1" ht="15" customHeight="1" x14ac:dyDescent="0.25">
      <c r="A1587" s="543"/>
      <c r="B1587" s="544" t="s">
        <v>658</v>
      </c>
      <c r="C1587" s="513">
        <v>6111</v>
      </c>
      <c r="D1587" s="545" t="s">
        <v>670</v>
      </c>
      <c r="E1587" s="514" t="s">
        <v>42</v>
      </c>
      <c r="F1587" s="546">
        <v>2.2000000000000002</v>
      </c>
      <c r="G1587" s="547">
        <v>8.92</v>
      </c>
      <c r="H1587" s="548"/>
      <c r="I1587" s="547">
        <f t="shared" si="208"/>
        <v>19.624000000000002</v>
      </c>
      <c r="J1587" s="549"/>
      <c r="K1587" s="548"/>
      <c r="L1587" s="547"/>
      <c r="M1587" s="549"/>
      <c r="N1587" s="550"/>
      <c r="O1587" s="551"/>
    </row>
    <row r="1588" spans="1:15" s="552" customFormat="1" ht="15" customHeight="1" x14ac:dyDescent="0.25">
      <c r="A1588" s="543"/>
      <c r="B1588" s="544" t="s">
        <v>664</v>
      </c>
      <c r="C1588" s="513">
        <v>88627</v>
      </c>
      <c r="D1588" s="545" t="s">
        <v>706</v>
      </c>
      <c r="E1588" s="514" t="s">
        <v>233</v>
      </c>
      <c r="F1588" s="546">
        <v>6.0000000000000001E-3</v>
      </c>
      <c r="G1588" s="547">
        <v>392.17</v>
      </c>
      <c r="H1588" s="548">
        <f t="shared" ref="H1588" si="209">F1588*G1588</f>
        <v>2.3530200000000003</v>
      </c>
      <c r="I1588" s="547"/>
      <c r="J1588" s="549"/>
      <c r="K1588" s="548"/>
      <c r="L1588" s="547"/>
      <c r="M1588" s="549"/>
      <c r="N1588" s="550"/>
      <c r="O1588" s="551"/>
    </row>
    <row r="1589" spans="1:15" s="552" customFormat="1" ht="15" customHeight="1" x14ac:dyDescent="0.25">
      <c r="A1589" s="543"/>
      <c r="B1589" s="544" t="s">
        <v>657</v>
      </c>
      <c r="C1589" s="513">
        <v>4914</v>
      </c>
      <c r="D1589" s="545" t="s">
        <v>787</v>
      </c>
      <c r="E1589" s="514" t="s">
        <v>58</v>
      </c>
      <c r="F1589" s="546">
        <v>1</v>
      </c>
      <c r="G1589" s="547">
        <v>470.77</v>
      </c>
      <c r="H1589" s="548">
        <f>F1589*G1589</f>
        <v>470.77</v>
      </c>
      <c r="I1589" s="547"/>
      <c r="J1589" s="549"/>
      <c r="K1589" s="548"/>
      <c r="L1589" s="547"/>
      <c r="M1589" s="549"/>
      <c r="N1589" s="550"/>
      <c r="O1589" s="551"/>
    </row>
    <row r="1590" spans="1:15" s="167" customFormat="1" ht="11.25" x14ac:dyDescent="0.2">
      <c r="A1590" s="170"/>
      <c r="B1590" s="129"/>
      <c r="C1590" s="29"/>
      <c r="D1590" s="117" t="s">
        <v>83</v>
      </c>
      <c r="E1590" s="30"/>
      <c r="F1590" s="118"/>
      <c r="G1590" s="31"/>
      <c r="H1590" s="104"/>
      <c r="I1590" s="27"/>
      <c r="J1590" s="105"/>
      <c r="K1590" s="104"/>
      <c r="L1590" s="27"/>
      <c r="M1590" s="105"/>
      <c r="N1590" s="92"/>
      <c r="O1590" s="169"/>
    </row>
    <row r="1591" spans="1:15" s="23" customFormat="1" ht="14.25" x14ac:dyDescent="0.2">
      <c r="A1591" s="134"/>
      <c r="B1591" s="129"/>
      <c r="C1591" s="29"/>
      <c r="D1591" s="117" t="s">
        <v>83</v>
      </c>
      <c r="E1591" s="30"/>
      <c r="F1591" s="476"/>
      <c r="G1591" s="477"/>
      <c r="H1591" s="478"/>
      <c r="I1591" s="479"/>
      <c r="J1591" s="480"/>
      <c r="K1591" s="478"/>
      <c r="L1591" s="479"/>
      <c r="M1591" s="480"/>
      <c r="N1591" s="92"/>
      <c r="O1591" s="92"/>
    </row>
    <row r="1592" spans="1:15" s="266" customFormat="1" ht="12.75" x14ac:dyDescent="0.2">
      <c r="A1592" s="516"/>
      <c r="B1592" s="517"/>
      <c r="C1592" s="518" t="s">
        <v>643</v>
      </c>
      <c r="D1592" s="519" t="s">
        <v>615</v>
      </c>
      <c r="E1592" s="520"/>
      <c r="F1592" s="519"/>
      <c r="G1592" s="520"/>
      <c r="H1592" s="521"/>
      <c r="I1592" s="522"/>
      <c r="J1592" s="523"/>
      <c r="K1592" s="521"/>
      <c r="L1592" s="522"/>
      <c r="M1592" s="523"/>
      <c r="N1592" s="524"/>
      <c r="O1592" s="525">
        <f>SUM(O1593:O1603)</f>
        <v>654.20784000000015</v>
      </c>
    </row>
    <row r="1593" spans="1:15" s="23" customFormat="1" ht="14.25" x14ac:dyDescent="0.2">
      <c r="A1593" s="134"/>
      <c r="B1593" s="129"/>
      <c r="C1593" s="29"/>
      <c r="D1593" s="117" t="s">
        <v>83</v>
      </c>
      <c r="E1593" s="30"/>
      <c r="F1593" s="118"/>
      <c r="G1593" s="31"/>
      <c r="H1593" s="104"/>
      <c r="I1593" s="27"/>
      <c r="J1593" s="105"/>
      <c r="K1593" s="104"/>
      <c r="L1593" s="27"/>
      <c r="M1593" s="105"/>
      <c r="N1593" s="92"/>
      <c r="O1593" s="92"/>
    </row>
    <row r="1594" spans="1:15" s="23" customFormat="1" ht="22.5" x14ac:dyDescent="0.2">
      <c r="A1594" s="223" t="s">
        <v>78</v>
      </c>
      <c r="B1594" s="224">
        <v>87905</v>
      </c>
      <c r="C1594" s="225" t="s">
        <v>644</v>
      </c>
      <c r="D1594" s="226" t="s">
        <v>1085</v>
      </c>
      <c r="E1594" s="225" t="s">
        <v>94</v>
      </c>
      <c r="F1594" s="473">
        <f>'MEMÓRIA DE CÁLCULO'!F278+'MEMÓRIA DE CÁLCULO'!F279</f>
        <v>19.8</v>
      </c>
      <c r="G1594" s="474"/>
      <c r="H1594" s="229">
        <f>ROUND(SUM(H1595:H1597),2)</f>
        <v>1.4</v>
      </c>
      <c r="I1594" s="229">
        <f>ROUND(SUM(I1595:I1597),2)</f>
        <v>3.11</v>
      </c>
      <c r="J1594" s="231">
        <f>(H1594+I1594)</f>
        <v>4.51</v>
      </c>
      <c r="K1594" s="229">
        <f>F1594*H1594</f>
        <v>27.72</v>
      </c>
      <c r="L1594" s="230">
        <f>F1594*I1594</f>
        <v>61.578000000000003</v>
      </c>
      <c r="M1594" s="231">
        <f>K1594+L1594</f>
        <v>89.298000000000002</v>
      </c>
      <c r="N1594" s="227">
        <f>M1594*$N$7</f>
        <v>24.181898399999998</v>
      </c>
      <c r="O1594" s="227">
        <f>M1594+N1594</f>
        <v>113.4798984</v>
      </c>
    </row>
    <row r="1595" spans="1:15" s="552" customFormat="1" ht="21" customHeight="1" x14ac:dyDescent="0.25">
      <c r="A1595" s="543"/>
      <c r="B1595" s="544" t="s">
        <v>664</v>
      </c>
      <c r="C1595" s="513">
        <v>87313</v>
      </c>
      <c r="D1595" s="545" t="s">
        <v>790</v>
      </c>
      <c r="E1595" s="514" t="s">
        <v>233</v>
      </c>
      <c r="F1595" s="546">
        <v>4.1999999999999997E-3</v>
      </c>
      <c r="G1595" s="547">
        <v>333.01</v>
      </c>
      <c r="H1595" s="548">
        <f t="shared" ref="H1595" si="210">F1595*G1595</f>
        <v>1.3986419999999999</v>
      </c>
      <c r="I1595" s="547"/>
      <c r="J1595" s="549"/>
      <c r="K1595" s="548"/>
      <c r="L1595" s="547"/>
      <c r="M1595" s="549"/>
      <c r="N1595" s="550"/>
      <c r="O1595" s="551"/>
    </row>
    <row r="1596" spans="1:15" s="552" customFormat="1" ht="15" customHeight="1" x14ac:dyDescent="0.25">
      <c r="A1596" s="543"/>
      <c r="B1596" s="544" t="s">
        <v>715</v>
      </c>
      <c r="C1596" s="513">
        <v>4750</v>
      </c>
      <c r="D1596" s="545" t="s">
        <v>679</v>
      </c>
      <c r="E1596" s="514" t="s">
        <v>42</v>
      </c>
      <c r="F1596" s="546">
        <v>0.183</v>
      </c>
      <c r="G1596" s="547">
        <v>12.57</v>
      </c>
      <c r="H1596" s="548"/>
      <c r="I1596" s="547">
        <f>F1596*G1596</f>
        <v>2.3003100000000001</v>
      </c>
      <c r="J1596" s="549"/>
      <c r="K1596" s="548"/>
      <c r="L1596" s="547"/>
      <c r="M1596" s="549"/>
      <c r="N1596" s="550"/>
      <c r="O1596" s="551"/>
    </row>
    <row r="1597" spans="1:15" s="552" customFormat="1" ht="15" customHeight="1" x14ac:dyDescent="0.25">
      <c r="A1597" s="543"/>
      <c r="B1597" s="544" t="s">
        <v>658</v>
      </c>
      <c r="C1597" s="513">
        <v>6111</v>
      </c>
      <c r="D1597" s="545" t="s">
        <v>670</v>
      </c>
      <c r="E1597" s="514" t="s">
        <v>42</v>
      </c>
      <c r="F1597" s="546">
        <v>9.0999999999999998E-2</v>
      </c>
      <c r="G1597" s="547">
        <v>8.92</v>
      </c>
      <c r="H1597" s="548"/>
      <c r="I1597" s="547">
        <f t="shared" ref="I1597" si="211">F1597*G1597</f>
        <v>0.81172</v>
      </c>
      <c r="J1597" s="549"/>
      <c r="K1597" s="548"/>
      <c r="L1597" s="547"/>
      <c r="M1597" s="549"/>
      <c r="N1597" s="550"/>
      <c r="O1597" s="551"/>
    </row>
    <row r="1598" spans="1:15" s="23" customFormat="1" ht="14.25" x14ac:dyDescent="0.2">
      <c r="A1598" s="134"/>
      <c r="B1598" s="129"/>
      <c r="C1598" s="29"/>
      <c r="D1598" s="117" t="s">
        <v>83</v>
      </c>
      <c r="E1598" s="30"/>
      <c r="F1598" s="476"/>
      <c r="G1598" s="477"/>
      <c r="H1598" s="478"/>
      <c r="I1598" s="479"/>
      <c r="J1598" s="480"/>
      <c r="K1598" s="478"/>
      <c r="L1598" s="479"/>
      <c r="M1598" s="480"/>
      <c r="N1598" s="92"/>
      <c r="O1598" s="92"/>
    </row>
    <row r="1599" spans="1:15" s="23" customFormat="1" ht="22.5" x14ac:dyDescent="0.2">
      <c r="A1599" s="223" t="s">
        <v>78</v>
      </c>
      <c r="B1599" s="224">
        <v>87530</v>
      </c>
      <c r="C1599" s="225" t="s">
        <v>645</v>
      </c>
      <c r="D1599" s="226" t="s">
        <v>1086</v>
      </c>
      <c r="E1599" s="225" t="s">
        <v>94</v>
      </c>
      <c r="F1599" s="473">
        <f>F1594</f>
        <v>19.8</v>
      </c>
      <c r="G1599" s="474"/>
      <c r="H1599" s="229">
        <f>ROUND(SUM(H1600:H1602),2)</f>
        <v>14.06</v>
      </c>
      <c r="I1599" s="229">
        <f>ROUND(SUM(I1600:I1602),2)</f>
        <v>7.43</v>
      </c>
      <c r="J1599" s="231">
        <f>(H1599+I1599)</f>
        <v>21.490000000000002</v>
      </c>
      <c r="K1599" s="229">
        <f>F1599*H1599</f>
        <v>278.38800000000003</v>
      </c>
      <c r="L1599" s="230">
        <f>F1599*I1599</f>
        <v>147.114</v>
      </c>
      <c r="M1599" s="231">
        <f>K1599+L1599</f>
        <v>425.50200000000007</v>
      </c>
      <c r="N1599" s="227">
        <f>M1599*$N$7</f>
        <v>115.22594160000001</v>
      </c>
      <c r="O1599" s="227">
        <f>M1599+N1599</f>
        <v>540.72794160000012</v>
      </c>
    </row>
    <row r="1600" spans="1:15" s="552" customFormat="1" ht="21" customHeight="1" x14ac:dyDescent="0.25">
      <c r="A1600" s="543"/>
      <c r="B1600" s="544" t="s">
        <v>664</v>
      </c>
      <c r="C1600" s="513">
        <v>87369</v>
      </c>
      <c r="D1600" s="545" t="s">
        <v>791</v>
      </c>
      <c r="E1600" s="514" t="s">
        <v>233</v>
      </c>
      <c r="F1600" s="546">
        <v>3.7600000000000001E-2</v>
      </c>
      <c r="G1600" s="547">
        <v>373.9</v>
      </c>
      <c r="H1600" s="548">
        <f t="shared" ref="H1600" si="212">F1600*G1600</f>
        <v>14.05864</v>
      </c>
      <c r="I1600" s="547"/>
      <c r="J1600" s="549"/>
      <c r="K1600" s="548"/>
      <c r="L1600" s="547"/>
      <c r="M1600" s="549"/>
      <c r="N1600" s="550"/>
      <c r="O1600" s="551"/>
    </row>
    <row r="1601" spans="1:15" s="552" customFormat="1" ht="15" customHeight="1" x14ac:dyDescent="0.25">
      <c r="A1601" s="543"/>
      <c r="B1601" s="544" t="s">
        <v>715</v>
      </c>
      <c r="C1601" s="513">
        <v>4750</v>
      </c>
      <c r="D1601" s="545" t="s">
        <v>714</v>
      </c>
      <c r="E1601" s="514" t="s">
        <v>42</v>
      </c>
      <c r="F1601" s="546">
        <v>0.47</v>
      </c>
      <c r="G1601" s="547">
        <v>12.57</v>
      </c>
      <c r="H1601" s="548"/>
      <c r="I1601" s="547">
        <f>F1601*G1601</f>
        <v>5.9078999999999997</v>
      </c>
      <c r="J1601" s="549"/>
      <c r="K1601" s="548"/>
      <c r="L1601" s="547"/>
      <c r="M1601" s="549"/>
      <c r="N1601" s="550"/>
      <c r="O1601" s="551"/>
    </row>
    <row r="1602" spans="1:15" s="552" customFormat="1" ht="15" customHeight="1" x14ac:dyDescent="0.25">
      <c r="A1602" s="543"/>
      <c r="B1602" s="544" t="s">
        <v>658</v>
      </c>
      <c r="C1602" s="513">
        <v>6111</v>
      </c>
      <c r="D1602" s="545" t="s">
        <v>670</v>
      </c>
      <c r="E1602" s="514" t="s">
        <v>42</v>
      </c>
      <c r="F1602" s="546">
        <v>0.17100000000000001</v>
      </c>
      <c r="G1602" s="547">
        <v>8.92</v>
      </c>
      <c r="H1602" s="548"/>
      <c r="I1602" s="547">
        <f t="shared" ref="I1602" si="213">F1602*G1602</f>
        <v>1.52532</v>
      </c>
      <c r="J1602" s="549"/>
      <c r="K1602" s="548"/>
      <c r="L1602" s="547"/>
      <c r="M1602" s="549"/>
      <c r="N1602" s="550"/>
      <c r="O1602" s="551"/>
    </row>
    <row r="1603" spans="1:15" s="23" customFormat="1" ht="14.25" x14ac:dyDescent="0.2">
      <c r="A1603" s="134"/>
      <c r="B1603" s="129"/>
      <c r="C1603" s="29"/>
      <c r="D1603" s="117" t="s">
        <v>83</v>
      </c>
      <c r="E1603" s="30"/>
      <c r="F1603" s="476"/>
      <c r="G1603" s="477"/>
      <c r="H1603" s="478"/>
      <c r="I1603" s="479"/>
      <c r="J1603" s="480"/>
      <c r="K1603" s="478"/>
      <c r="L1603" s="479"/>
      <c r="M1603" s="480"/>
      <c r="N1603" s="92"/>
      <c r="O1603" s="92"/>
    </row>
    <row r="1604" spans="1:15" s="266" customFormat="1" ht="12.75" x14ac:dyDescent="0.2">
      <c r="A1604" s="516"/>
      <c r="B1604" s="517"/>
      <c r="C1604" s="518" t="s">
        <v>646</v>
      </c>
      <c r="D1604" s="519" t="s">
        <v>616</v>
      </c>
      <c r="E1604" s="520"/>
      <c r="F1604" s="519"/>
      <c r="G1604" s="520"/>
      <c r="H1604" s="521"/>
      <c r="I1604" s="522"/>
      <c r="J1604" s="523"/>
      <c r="K1604" s="521"/>
      <c r="L1604" s="522"/>
      <c r="M1604" s="523"/>
      <c r="N1604" s="524"/>
      <c r="O1604" s="525">
        <f>SUM(O1606:O1621)</f>
        <v>3340.9840319999998</v>
      </c>
    </row>
    <row r="1605" spans="1:15" s="23" customFormat="1" ht="14.25" x14ac:dyDescent="0.2">
      <c r="A1605" s="134"/>
      <c r="B1605" s="130"/>
      <c r="C1605" s="34"/>
      <c r="D1605" s="117" t="s">
        <v>83</v>
      </c>
      <c r="E1605" s="30"/>
      <c r="F1605" s="30"/>
      <c r="G1605" s="31"/>
      <c r="H1605" s="104"/>
      <c r="I1605" s="27"/>
      <c r="J1605" s="105"/>
      <c r="K1605" s="31"/>
      <c r="L1605" s="31"/>
      <c r="M1605" s="111"/>
      <c r="N1605" s="92"/>
      <c r="O1605" s="92"/>
    </row>
    <row r="1606" spans="1:15" s="23" customFormat="1" ht="22.5" x14ac:dyDescent="0.2">
      <c r="A1606" s="223" t="s">
        <v>78</v>
      </c>
      <c r="B1606" s="224" t="s">
        <v>620</v>
      </c>
      <c r="C1606" s="225" t="s">
        <v>647</v>
      </c>
      <c r="D1606" s="232" t="s">
        <v>621</v>
      </c>
      <c r="E1606" s="225" t="s">
        <v>98</v>
      </c>
      <c r="F1606" s="515">
        <f>'MEMÓRIA DE CÁLCULO'!D294</f>
        <v>46</v>
      </c>
      <c r="G1606" s="228"/>
      <c r="H1606" s="229">
        <f>ROUND(SUM(H1607:H1609),2)</f>
        <v>20.79</v>
      </c>
      <c r="I1606" s="230">
        <f>ROUND(SUM(I1607:I1609),2)</f>
        <v>3.31</v>
      </c>
      <c r="J1606" s="231">
        <f>(H1606+I1606)</f>
        <v>24.099999999999998</v>
      </c>
      <c r="K1606" s="229">
        <f>F1606*H1606</f>
        <v>956.33999999999992</v>
      </c>
      <c r="L1606" s="230">
        <f>F1606*I1606</f>
        <v>152.26</v>
      </c>
      <c r="M1606" s="231">
        <f>K1606+L1606</f>
        <v>1108.5999999999999</v>
      </c>
      <c r="N1606" s="227">
        <f>M1606*$N$7</f>
        <v>300.20887999999997</v>
      </c>
      <c r="O1606" s="227">
        <f>M1606+N1606</f>
        <v>1408.8088799999998</v>
      </c>
    </row>
    <row r="1607" spans="1:15" s="552" customFormat="1" ht="15" customHeight="1" x14ac:dyDescent="0.25">
      <c r="A1607" s="543"/>
      <c r="B1607" s="544"/>
      <c r="C1607" s="513">
        <v>88267</v>
      </c>
      <c r="D1607" s="545" t="s">
        <v>622</v>
      </c>
      <c r="E1607" s="514" t="s">
        <v>42</v>
      </c>
      <c r="F1607" s="546">
        <v>0.154</v>
      </c>
      <c r="G1607" s="547">
        <v>12.57</v>
      </c>
      <c r="H1607" s="548"/>
      <c r="I1607" s="547">
        <f>F1607*G1607</f>
        <v>1.9357800000000001</v>
      </c>
      <c r="J1607" s="549"/>
      <c r="K1607" s="548"/>
      <c r="L1607" s="547"/>
      <c r="M1607" s="549"/>
      <c r="N1607" s="550"/>
      <c r="O1607" s="551"/>
    </row>
    <row r="1608" spans="1:15" s="552" customFormat="1" ht="15" customHeight="1" x14ac:dyDescent="0.25">
      <c r="A1608" s="543"/>
      <c r="B1608" s="544" t="s">
        <v>658</v>
      </c>
      <c r="C1608" s="513">
        <v>6111</v>
      </c>
      <c r="D1608" s="545" t="s">
        <v>670</v>
      </c>
      <c r="E1608" s="514" t="s">
        <v>42</v>
      </c>
      <c r="F1608" s="546">
        <v>0.154</v>
      </c>
      <c r="G1608" s="547">
        <v>8.92</v>
      </c>
      <c r="H1608" s="548"/>
      <c r="I1608" s="547">
        <f t="shared" ref="I1608" si="214">F1608*G1608</f>
        <v>1.37368</v>
      </c>
      <c r="J1608" s="549"/>
      <c r="K1608" s="548"/>
      <c r="L1608" s="547"/>
      <c r="M1608" s="549"/>
      <c r="N1608" s="550"/>
      <c r="O1608" s="551"/>
    </row>
    <row r="1609" spans="1:15" s="552" customFormat="1" ht="15" customHeight="1" x14ac:dyDescent="0.25">
      <c r="A1609" s="543"/>
      <c r="B1609" s="544" t="s">
        <v>625</v>
      </c>
      <c r="C1609" s="513">
        <v>12743</v>
      </c>
      <c r="D1609" s="545" t="s">
        <v>623</v>
      </c>
      <c r="E1609" s="514" t="s">
        <v>56</v>
      </c>
      <c r="F1609" s="546">
        <v>1.5</v>
      </c>
      <c r="G1609" s="547">
        <v>13.86</v>
      </c>
      <c r="H1609" s="548">
        <f>F1609*G1609</f>
        <v>20.79</v>
      </c>
      <c r="I1609" s="547"/>
      <c r="J1609" s="549"/>
      <c r="K1609" s="548"/>
      <c r="L1609" s="547"/>
      <c r="M1609" s="549"/>
      <c r="N1609" s="550"/>
      <c r="O1609" s="551"/>
    </row>
    <row r="1610" spans="1:15" s="189" customFormat="1" ht="11.25" x14ac:dyDescent="0.25">
      <c r="A1610" s="173"/>
      <c r="B1610" s="174"/>
      <c r="C1610" s="175"/>
      <c r="D1610" s="176"/>
      <c r="E1610" s="177"/>
      <c r="F1610" s="190"/>
      <c r="G1610" s="192"/>
      <c r="H1610" s="193"/>
      <c r="I1610" s="182"/>
      <c r="J1610" s="183"/>
      <c r="K1610" s="184"/>
      <c r="L1610" s="185"/>
      <c r="M1610" s="186"/>
      <c r="N1610" s="187"/>
      <c r="O1610" s="188"/>
    </row>
    <row r="1611" spans="1:15" s="23" customFormat="1" ht="33.75" x14ac:dyDescent="0.2">
      <c r="A1611" s="223"/>
      <c r="B1611" s="224" t="s">
        <v>55</v>
      </c>
      <c r="C1611" s="225" t="s">
        <v>648</v>
      </c>
      <c r="D1611" s="232" t="s">
        <v>1134</v>
      </c>
      <c r="E1611" s="225" t="s">
        <v>41</v>
      </c>
      <c r="F1611" s="515">
        <v>1</v>
      </c>
      <c r="G1611" s="228"/>
      <c r="H1611" s="229">
        <f>ROUND(SUM(H1612:H1615),2)</f>
        <v>1341</v>
      </c>
      <c r="I1611" s="229">
        <f>ROUND(SUM(I1612:I1615),2)</f>
        <v>77.42</v>
      </c>
      <c r="J1611" s="231">
        <f>(H1611+I1611)</f>
        <v>1418.42</v>
      </c>
      <c r="K1611" s="229">
        <f>F1611*H1611</f>
        <v>1341</v>
      </c>
      <c r="L1611" s="230">
        <f>F1611*I1611</f>
        <v>77.42</v>
      </c>
      <c r="M1611" s="231">
        <f>K1611+L1611</f>
        <v>1418.42</v>
      </c>
      <c r="N1611" s="227">
        <f>M1611*$N$7</f>
        <v>384.108136</v>
      </c>
      <c r="O1611" s="227">
        <f>M1611+N1611</f>
        <v>1802.5281360000001</v>
      </c>
    </row>
    <row r="1612" spans="1:15" s="552" customFormat="1" ht="15" customHeight="1" x14ac:dyDescent="0.25">
      <c r="A1612" s="543"/>
      <c r="B1612" s="544" t="s">
        <v>658</v>
      </c>
      <c r="C1612" s="513">
        <v>6111</v>
      </c>
      <c r="D1612" s="545" t="s">
        <v>670</v>
      </c>
      <c r="E1612" s="514" t="s">
        <v>42</v>
      </c>
      <c r="F1612" s="546">
        <v>3.5</v>
      </c>
      <c r="G1612" s="547">
        <v>8.92</v>
      </c>
      <c r="H1612" s="548"/>
      <c r="I1612" s="547">
        <f t="shared" ref="I1612" si="215">F1612*G1612</f>
        <v>31.22</v>
      </c>
      <c r="J1612" s="549"/>
      <c r="K1612" s="548"/>
      <c r="L1612" s="547"/>
      <c r="M1612" s="549"/>
      <c r="N1612" s="550"/>
      <c r="O1612" s="551"/>
    </row>
    <row r="1613" spans="1:15" s="552" customFormat="1" ht="15" customHeight="1" x14ac:dyDescent="0.25">
      <c r="A1613" s="543"/>
      <c r="B1613" s="544" t="s">
        <v>658</v>
      </c>
      <c r="C1613" s="513">
        <v>88267</v>
      </c>
      <c r="D1613" s="545" t="s">
        <v>43</v>
      </c>
      <c r="E1613" s="514" t="s">
        <v>42</v>
      </c>
      <c r="F1613" s="546">
        <v>3.5</v>
      </c>
      <c r="G1613" s="547">
        <v>13.2</v>
      </c>
      <c r="H1613" s="548"/>
      <c r="I1613" s="547">
        <f>F1613*G1613</f>
        <v>46.199999999999996</v>
      </c>
      <c r="J1613" s="549"/>
      <c r="K1613" s="548"/>
      <c r="L1613" s="547"/>
      <c r="M1613" s="549"/>
      <c r="N1613" s="550"/>
      <c r="O1613" s="551"/>
    </row>
    <row r="1614" spans="1:15" s="552" customFormat="1" ht="15" customHeight="1" x14ac:dyDescent="0.25">
      <c r="A1614" s="543"/>
      <c r="B1614" s="544"/>
      <c r="C1614" s="513" t="s">
        <v>1138</v>
      </c>
      <c r="D1614" s="545" t="s">
        <v>1133</v>
      </c>
      <c r="E1614" s="514" t="s">
        <v>41</v>
      </c>
      <c r="F1614" s="546">
        <v>2</v>
      </c>
      <c r="G1614" s="547">
        <v>588</v>
      </c>
      <c r="H1614" s="548">
        <f>F1614*G1614</f>
        <v>1176</v>
      </c>
      <c r="I1614" s="547"/>
      <c r="J1614" s="549"/>
      <c r="K1614" s="548"/>
      <c r="L1614" s="547"/>
      <c r="M1614" s="549"/>
      <c r="N1614" s="550"/>
      <c r="O1614" s="551"/>
    </row>
    <row r="1615" spans="1:15" s="552" customFormat="1" ht="15" customHeight="1" x14ac:dyDescent="0.25">
      <c r="A1615" s="543"/>
      <c r="B1615" s="544"/>
      <c r="C1615" s="513" t="s">
        <v>28</v>
      </c>
      <c r="D1615" s="545" t="str">
        <f>D1611</f>
        <v>Kit para instalação de gás P 45 - 02 butijões 45kg com carga, 01 regulador, 02 válvulas de retenção e 02 chicotes para P-45 universal com 1 metro - inssive conexões</v>
      </c>
      <c r="E1615" s="514" t="s">
        <v>41</v>
      </c>
      <c r="F1615" s="546">
        <v>1</v>
      </c>
      <c r="G1615" s="547">
        <v>165</v>
      </c>
      <c r="H1615" s="548">
        <f>F1615*G1615</f>
        <v>165</v>
      </c>
      <c r="I1615" s="547"/>
      <c r="J1615" s="549"/>
      <c r="K1615" s="548"/>
      <c r="L1615" s="547"/>
      <c r="M1615" s="549"/>
      <c r="N1615" s="550"/>
      <c r="O1615" s="551"/>
    </row>
    <row r="1616" spans="1:15" s="179" customFormat="1" ht="11.25" x14ac:dyDescent="0.25">
      <c r="A1616" s="173"/>
      <c r="B1616" s="174"/>
      <c r="C1616" s="175"/>
      <c r="D1616" s="190"/>
      <c r="E1616" s="175"/>
      <c r="F1616" s="178"/>
      <c r="G1616" s="181"/>
      <c r="H1616" s="194"/>
      <c r="I1616" s="195"/>
      <c r="J1616" s="196"/>
      <c r="K1616" s="184"/>
      <c r="L1616" s="185"/>
      <c r="M1616" s="186"/>
      <c r="N1616" s="187"/>
      <c r="O1616" s="188"/>
    </row>
    <row r="1617" spans="1:15" s="23" customFormat="1" ht="22.5" x14ac:dyDescent="0.2">
      <c r="A1617" s="223"/>
      <c r="B1617" s="224" t="s">
        <v>55</v>
      </c>
      <c r="C1617" s="225" t="s">
        <v>649</v>
      </c>
      <c r="D1617" s="226" t="s">
        <v>624</v>
      </c>
      <c r="E1617" s="225" t="s">
        <v>41</v>
      </c>
      <c r="F1617" s="515">
        <v>1</v>
      </c>
      <c r="G1617" s="228">
        <v>36.808495000000001</v>
      </c>
      <c r="H1617" s="229">
        <f>ROUND(SUM(H1618:H1620),2)</f>
        <v>79.900000000000006</v>
      </c>
      <c r="I1617" s="230">
        <f>ROUND(SUM(I1618:I1620),2)</f>
        <v>22.12</v>
      </c>
      <c r="J1617" s="231">
        <f>(H1617+I1617)</f>
        <v>102.02000000000001</v>
      </c>
      <c r="K1617" s="229">
        <f>F1617*H1617</f>
        <v>79.900000000000006</v>
      </c>
      <c r="L1617" s="230">
        <f>F1617*I1617</f>
        <v>22.12</v>
      </c>
      <c r="M1617" s="231">
        <f>K1617+L1617</f>
        <v>102.02000000000001</v>
      </c>
      <c r="N1617" s="227">
        <f>M1617*$N$7</f>
        <v>27.627016000000001</v>
      </c>
      <c r="O1617" s="227">
        <f>M1617+N1617</f>
        <v>129.64701600000001</v>
      </c>
    </row>
    <row r="1618" spans="1:15" s="552" customFormat="1" ht="15" customHeight="1" x14ac:dyDescent="0.25">
      <c r="A1618" s="543"/>
      <c r="B1618" s="544" t="s">
        <v>658</v>
      </c>
      <c r="C1618" s="513">
        <v>6111</v>
      </c>
      <c r="D1618" s="545" t="s">
        <v>670</v>
      </c>
      <c r="E1618" s="514" t="s">
        <v>42</v>
      </c>
      <c r="F1618" s="546">
        <v>1</v>
      </c>
      <c r="G1618" s="547">
        <v>8.92</v>
      </c>
      <c r="H1618" s="548"/>
      <c r="I1618" s="547">
        <f t="shared" ref="I1618" si="216">F1618*G1618</f>
        <v>8.92</v>
      </c>
      <c r="J1618" s="549"/>
      <c r="K1618" s="548"/>
      <c r="L1618" s="547"/>
      <c r="M1618" s="549"/>
      <c r="N1618" s="550"/>
      <c r="O1618" s="551"/>
    </row>
    <row r="1619" spans="1:15" s="552" customFormat="1" ht="15" customHeight="1" x14ac:dyDescent="0.25">
      <c r="A1619" s="543"/>
      <c r="B1619" s="544" t="s">
        <v>658</v>
      </c>
      <c r="C1619" s="513">
        <v>88267</v>
      </c>
      <c r="D1619" s="545" t="s">
        <v>43</v>
      </c>
      <c r="E1619" s="514" t="s">
        <v>42</v>
      </c>
      <c r="F1619" s="546">
        <v>1</v>
      </c>
      <c r="G1619" s="547">
        <v>13.2008495</v>
      </c>
      <c r="H1619" s="548"/>
      <c r="I1619" s="547">
        <f>F1619*G1619</f>
        <v>13.2008495</v>
      </c>
      <c r="J1619" s="549"/>
      <c r="K1619" s="548"/>
      <c r="L1619" s="547"/>
      <c r="M1619" s="549"/>
      <c r="N1619" s="550"/>
      <c r="O1619" s="551"/>
    </row>
    <row r="1620" spans="1:15" s="552" customFormat="1" ht="15" customHeight="1" x14ac:dyDescent="0.25">
      <c r="A1620" s="543"/>
      <c r="B1620" s="544"/>
      <c r="C1620" s="513"/>
      <c r="D1620" s="545" t="str">
        <f>D1617</f>
        <v>Mangueira flexível para gás GLP - borracha + malha 4 m.</v>
      </c>
      <c r="E1620" s="514" t="s">
        <v>41</v>
      </c>
      <c r="F1620" s="546">
        <v>1</v>
      </c>
      <c r="G1620" s="547">
        <v>79.900000000000006</v>
      </c>
      <c r="H1620" s="548">
        <f>F1620*G1620</f>
        <v>79.900000000000006</v>
      </c>
      <c r="I1620" s="547"/>
      <c r="J1620" s="549"/>
      <c r="K1620" s="548"/>
      <c r="L1620" s="547"/>
      <c r="M1620" s="549"/>
      <c r="N1620" s="550"/>
      <c r="O1620" s="551"/>
    </row>
    <row r="1621" spans="1:15" s="179" customFormat="1" ht="15" customHeight="1" x14ac:dyDescent="0.25">
      <c r="A1621" s="202"/>
      <c r="B1621" s="190"/>
      <c r="C1621" s="203"/>
      <c r="D1621" s="190"/>
      <c r="E1621" s="203"/>
      <c r="F1621" s="178"/>
      <c r="G1621" s="191"/>
      <c r="H1621" s="204"/>
      <c r="I1621" s="200"/>
      <c r="J1621" s="201"/>
      <c r="K1621" s="203"/>
      <c r="L1621" s="182"/>
      <c r="M1621" s="183"/>
      <c r="N1621" s="205"/>
      <c r="O1621" s="188"/>
    </row>
    <row r="1622" spans="1:15" s="266" customFormat="1" ht="12.75" x14ac:dyDescent="0.2">
      <c r="A1622" s="516"/>
      <c r="B1622" s="517"/>
      <c r="C1622" s="518" t="s">
        <v>650</v>
      </c>
      <c r="D1622" s="519" t="s">
        <v>619</v>
      </c>
      <c r="E1622" s="520"/>
      <c r="F1622" s="519"/>
      <c r="G1622" s="520"/>
      <c r="H1622" s="521"/>
      <c r="I1622" s="522"/>
      <c r="J1622" s="523"/>
      <c r="K1622" s="521"/>
      <c r="L1622" s="522"/>
      <c r="M1622" s="523"/>
      <c r="N1622" s="524"/>
      <c r="O1622" s="525">
        <f>SUM(O1624:O1627)</f>
        <v>348.55502399999995</v>
      </c>
    </row>
    <row r="1623" spans="1:15" x14ac:dyDescent="0.25">
      <c r="A1623" s="137"/>
      <c r="B1623" s="127"/>
      <c r="C1623" s="9"/>
      <c r="D1623" s="125" t="s">
        <v>83</v>
      </c>
      <c r="E1623" s="4"/>
      <c r="F1623" s="539"/>
      <c r="G1623" s="540"/>
      <c r="H1623" s="541"/>
      <c r="I1623" s="540"/>
      <c r="J1623" s="542"/>
      <c r="K1623" s="541"/>
      <c r="L1623" s="540"/>
      <c r="M1623" s="542"/>
      <c r="N1623" s="95"/>
      <c r="O1623" s="95"/>
    </row>
    <row r="1624" spans="1:15" s="23" customFormat="1" ht="14.25" x14ac:dyDescent="0.2">
      <c r="A1624" s="223" t="s">
        <v>80</v>
      </c>
      <c r="B1624" s="224"/>
      <c r="C1624" s="225" t="s">
        <v>651</v>
      </c>
      <c r="D1624" s="226" t="s">
        <v>617</v>
      </c>
      <c r="E1624" s="225" t="s">
        <v>618</v>
      </c>
      <c r="F1624" s="473">
        <v>2</v>
      </c>
      <c r="G1624" s="474"/>
      <c r="H1624" s="475">
        <f>ROUND(SUM(H1625:H1626),2)</f>
        <v>130</v>
      </c>
      <c r="I1624" s="475">
        <f>ROUND(SUM(I1625:I1626),2)</f>
        <v>7.14</v>
      </c>
      <c r="J1624" s="231">
        <f>(H1624+I1624)</f>
        <v>137.13999999999999</v>
      </c>
      <c r="K1624" s="229">
        <f>F1624*H1624</f>
        <v>260</v>
      </c>
      <c r="L1624" s="230">
        <f>F1624*I1624</f>
        <v>14.28</v>
      </c>
      <c r="M1624" s="231">
        <f>K1624+L1624</f>
        <v>274.27999999999997</v>
      </c>
      <c r="N1624" s="227">
        <f>M1624*$N$7</f>
        <v>74.275023999999988</v>
      </c>
      <c r="O1624" s="227">
        <f>M1624+N1624</f>
        <v>348.55502399999995</v>
      </c>
    </row>
    <row r="1625" spans="1:15" s="552" customFormat="1" ht="15" customHeight="1" x14ac:dyDescent="0.25">
      <c r="A1625" s="543"/>
      <c r="B1625" s="544" t="s">
        <v>658</v>
      </c>
      <c r="C1625" s="513">
        <v>6111</v>
      </c>
      <c r="D1625" s="545" t="s">
        <v>670</v>
      </c>
      <c r="E1625" s="514" t="s">
        <v>42</v>
      </c>
      <c r="F1625" s="546">
        <v>0.8</v>
      </c>
      <c r="G1625" s="547">
        <v>8.92</v>
      </c>
      <c r="H1625" s="548"/>
      <c r="I1625" s="547">
        <f>F1625*G1625</f>
        <v>7.1360000000000001</v>
      </c>
      <c r="J1625" s="549"/>
      <c r="K1625" s="548"/>
      <c r="L1625" s="547"/>
      <c r="M1625" s="549"/>
      <c r="N1625" s="550"/>
      <c r="O1625" s="551"/>
    </row>
    <row r="1626" spans="1:15" s="552" customFormat="1" ht="15" customHeight="1" x14ac:dyDescent="0.25">
      <c r="A1626" s="543"/>
      <c r="B1626" s="544"/>
      <c r="C1626" s="513"/>
      <c r="D1626" s="545" t="str">
        <f>D1624</f>
        <v>EXTINTOR DE PÓ CLASSE ABC - 6kg - fornecimento e instalação.</v>
      </c>
      <c r="E1626" s="514" t="s">
        <v>618</v>
      </c>
      <c r="F1626" s="546">
        <v>1</v>
      </c>
      <c r="G1626" s="547">
        <v>130</v>
      </c>
      <c r="H1626" s="548">
        <f>F1626*G1626</f>
        <v>130</v>
      </c>
      <c r="I1626" s="547" t="s">
        <v>96</v>
      </c>
      <c r="J1626" s="549"/>
      <c r="K1626" s="548"/>
      <c r="L1626" s="547"/>
      <c r="M1626" s="549"/>
      <c r="N1626" s="550"/>
      <c r="O1626" s="551"/>
    </row>
    <row r="1627" spans="1:15" x14ac:dyDescent="0.25">
      <c r="A1627" s="137"/>
      <c r="B1627" s="127"/>
      <c r="C1627" s="9"/>
      <c r="D1627" s="125" t="s">
        <v>83</v>
      </c>
      <c r="E1627" s="4"/>
      <c r="F1627" s="539"/>
      <c r="G1627" s="540"/>
      <c r="H1627" s="541"/>
      <c r="I1627" s="540"/>
      <c r="J1627" s="542"/>
      <c r="K1627" s="541"/>
      <c r="L1627" s="540"/>
      <c r="M1627" s="542"/>
      <c r="N1627" s="95"/>
      <c r="O1627" s="95"/>
    </row>
    <row r="1628" spans="1:15" s="266" customFormat="1" ht="12.75" x14ac:dyDescent="0.2">
      <c r="A1628" s="516"/>
      <c r="B1628" s="517"/>
      <c r="C1628" s="518" t="s">
        <v>652</v>
      </c>
      <c r="D1628" s="519" t="s">
        <v>84</v>
      </c>
      <c r="E1628" s="520"/>
      <c r="F1628" s="519"/>
      <c r="G1628" s="520"/>
      <c r="H1628" s="521"/>
      <c r="I1628" s="522"/>
      <c r="J1628" s="523"/>
      <c r="K1628" s="521"/>
      <c r="L1628" s="522"/>
      <c r="M1628" s="523"/>
      <c r="N1628" s="524"/>
      <c r="O1628" s="525">
        <f>SUM(O1630:O1634)</f>
        <v>227.46303360000002</v>
      </c>
    </row>
    <row r="1629" spans="1:15" x14ac:dyDescent="0.25">
      <c r="A1629" s="137"/>
      <c r="B1629" s="127"/>
      <c r="C1629" s="9"/>
      <c r="D1629" s="125" t="s">
        <v>83</v>
      </c>
      <c r="E1629" s="4"/>
      <c r="F1629" s="121"/>
      <c r="G1629" s="5"/>
      <c r="H1629" s="114"/>
      <c r="I1629" s="5"/>
      <c r="J1629" s="115"/>
      <c r="K1629" s="114"/>
      <c r="L1629" s="5"/>
      <c r="M1629" s="115"/>
      <c r="N1629" s="95"/>
      <c r="O1629" s="95"/>
    </row>
    <row r="1630" spans="1:15" s="23" customFormat="1" ht="14.25" x14ac:dyDescent="0.2">
      <c r="A1630" s="223" t="s">
        <v>78</v>
      </c>
      <c r="B1630" s="224">
        <v>88489</v>
      </c>
      <c r="C1630" s="225" t="s">
        <v>653</v>
      </c>
      <c r="D1630" s="226" t="s">
        <v>217</v>
      </c>
      <c r="E1630" s="225" t="s">
        <v>94</v>
      </c>
      <c r="F1630" s="515">
        <f>'MEMÓRIA DE CÁLCULO'!J284</f>
        <v>19.8</v>
      </c>
      <c r="G1630" s="228"/>
      <c r="H1630" s="229">
        <f>ROUND(SUM(H1631:H1633),2)</f>
        <v>6.07</v>
      </c>
      <c r="I1630" s="229">
        <f>ROUND(SUM(I1631:I1633),2)</f>
        <v>2.97</v>
      </c>
      <c r="J1630" s="231">
        <f>(H1630+I1630)</f>
        <v>9.0400000000000009</v>
      </c>
      <c r="K1630" s="229">
        <f>F1630*H1630</f>
        <v>120.18600000000001</v>
      </c>
      <c r="L1630" s="230">
        <f>F1630*I1630</f>
        <v>58.806000000000004</v>
      </c>
      <c r="M1630" s="231">
        <f>K1630+L1630</f>
        <v>178.99200000000002</v>
      </c>
      <c r="N1630" s="227">
        <f>M1630*$N$7</f>
        <v>48.471033600000005</v>
      </c>
      <c r="O1630" s="227">
        <f>M1630+N1630</f>
        <v>227.46303360000002</v>
      </c>
    </row>
    <row r="1631" spans="1:15" s="552" customFormat="1" ht="15" customHeight="1" x14ac:dyDescent="0.25">
      <c r="A1631" s="543"/>
      <c r="B1631" s="544" t="s">
        <v>715</v>
      </c>
      <c r="C1631" s="513">
        <v>4783</v>
      </c>
      <c r="D1631" s="545" t="s">
        <v>738</v>
      </c>
      <c r="E1631" s="514" t="s">
        <v>42</v>
      </c>
      <c r="F1631" s="546">
        <v>0.187</v>
      </c>
      <c r="G1631" s="547">
        <v>12.57</v>
      </c>
      <c r="H1631" s="548"/>
      <c r="I1631" s="547">
        <f>F1631*G1631</f>
        <v>2.35059</v>
      </c>
      <c r="J1631" s="549"/>
      <c r="K1631" s="548"/>
      <c r="L1631" s="547"/>
      <c r="M1631" s="549"/>
      <c r="N1631" s="550"/>
      <c r="O1631" s="551"/>
    </row>
    <row r="1632" spans="1:15" s="552" customFormat="1" ht="15" customHeight="1" x14ac:dyDescent="0.25">
      <c r="A1632" s="543"/>
      <c r="B1632" s="544" t="s">
        <v>658</v>
      </c>
      <c r="C1632" s="513">
        <v>6111</v>
      </c>
      <c r="D1632" s="545" t="s">
        <v>670</v>
      </c>
      <c r="E1632" s="514" t="s">
        <v>42</v>
      </c>
      <c r="F1632" s="546">
        <v>6.9000000000000006E-2</v>
      </c>
      <c r="G1632" s="547">
        <v>8.92</v>
      </c>
      <c r="H1632" s="548"/>
      <c r="I1632" s="547">
        <f t="shared" ref="I1632" si="217">F1632*G1632</f>
        <v>0.61548000000000003</v>
      </c>
      <c r="J1632" s="549"/>
      <c r="K1632" s="548"/>
      <c r="L1632" s="547"/>
      <c r="M1632" s="549"/>
      <c r="N1632" s="550"/>
      <c r="O1632" s="551"/>
    </row>
    <row r="1633" spans="1:15" s="552" customFormat="1" ht="15" customHeight="1" x14ac:dyDescent="0.25">
      <c r="A1633" s="543"/>
      <c r="B1633" s="544" t="s">
        <v>657</v>
      </c>
      <c r="C1633" s="513">
        <v>7356</v>
      </c>
      <c r="D1633" s="545" t="s">
        <v>739</v>
      </c>
      <c r="E1633" s="514" t="s">
        <v>740</v>
      </c>
      <c r="F1633" s="546">
        <v>0.33</v>
      </c>
      <c r="G1633" s="547">
        <v>18.38</v>
      </c>
      <c r="H1633" s="548">
        <f t="shared" ref="H1633" si="218">F1633*G1633</f>
        <v>6.0654000000000003</v>
      </c>
      <c r="I1633" s="547"/>
      <c r="J1633" s="549"/>
      <c r="K1633" s="548"/>
      <c r="L1633" s="547"/>
      <c r="M1633" s="549"/>
      <c r="N1633" s="550"/>
      <c r="O1633" s="551"/>
    </row>
    <row r="1634" spans="1:15" x14ac:dyDescent="0.25">
      <c r="A1634" s="137"/>
      <c r="B1634" s="127"/>
      <c r="C1634" s="9"/>
      <c r="D1634" s="125" t="s">
        <v>83</v>
      </c>
      <c r="E1634" s="4"/>
      <c r="F1634" s="121"/>
      <c r="G1634" s="5"/>
      <c r="H1634" s="114"/>
      <c r="I1634" s="5"/>
      <c r="J1634" s="115"/>
      <c r="K1634" s="114"/>
      <c r="L1634" s="5"/>
      <c r="M1634" s="115"/>
      <c r="N1634" s="95"/>
      <c r="O1634" s="95"/>
    </row>
    <row r="1635" spans="1:15" s="266" customFormat="1" ht="12.75" x14ac:dyDescent="0.2">
      <c r="A1635" s="516"/>
      <c r="B1635" s="517"/>
      <c r="C1635" s="518" t="s">
        <v>654</v>
      </c>
      <c r="D1635" s="519" t="s">
        <v>221</v>
      </c>
      <c r="E1635" s="520"/>
      <c r="F1635" s="519"/>
      <c r="G1635" s="520"/>
      <c r="H1635" s="521"/>
      <c r="I1635" s="522"/>
      <c r="J1635" s="523"/>
      <c r="K1635" s="521"/>
      <c r="L1635" s="522"/>
      <c r="M1635" s="523"/>
      <c r="N1635" s="524"/>
      <c r="O1635" s="525">
        <f>SUM(O1637:O1640)</f>
        <v>13.648392000000001</v>
      </c>
    </row>
    <row r="1636" spans="1:15" x14ac:dyDescent="0.25">
      <c r="A1636" s="137"/>
      <c r="B1636" s="127"/>
      <c r="C1636" s="9"/>
      <c r="D1636" s="125" t="s">
        <v>83</v>
      </c>
      <c r="E1636" s="4"/>
      <c r="F1636" s="121"/>
      <c r="G1636" s="5"/>
      <c r="H1636" s="114"/>
      <c r="I1636" s="5"/>
      <c r="J1636" s="115"/>
      <c r="K1636" s="114"/>
      <c r="L1636" s="5"/>
      <c r="M1636" s="115"/>
      <c r="N1636" s="96"/>
      <c r="O1636" s="96"/>
    </row>
    <row r="1637" spans="1:15" s="23" customFormat="1" ht="22.5" x14ac:dyDescent="0.2">
      <c r="A1637" s="223"/>
      <c r="B1637" s="224" t="s">
        <v>222</v>
      </c>
      <c r="C1637" s="225" t="s">
        <v>655</v>
      </c>
      <c r="D1637" s="226" t="s">
        <v>223</v>
      </c>
      <c r="E1637" s="225" t="s">
        <v>41</v>
      </c>
      <c r="F1637" s="515">
        <v>2</v>
      </c>
      <c r="G1637" s="228"/>
      <c r="H1637" s="230">
        <f>ROUND(SUM(H1638:H1639),2)</f>
        <v>0</v>
      </c>
      <c r="I1637" s="230">
        <f>ROUND(SUM(I1638:I1639),2)</f>
        <v>5.37</v>
      </c>
      <c r="J1637" s="231">
        <f>(H1637+I1637)</f>
        <v>5.37</v>
      </c>
      <c r="K1637" s="229">
        <f>F1637*H1637</f>
        <v>0</v>
      </c>
      <c r="L1637" s="230">
        <f>F1637*I1637</f>
        <v>10.74</v>
      </c>
      <c r="M1637" s="231">
        <f>K1637+L1637</f>
        <v>10.74</v>
      </c>
      <c r="N1637" s="227">
        <f>M1637*$N$7</f>
        <v>2.9083920000000001</v>
      </c>
      <c r="O1637" s="227">
        <f>M1637+N1637</f>
        <v>13.648392000000001</v>
      </c>
    </row>
    <row r="1638" spans="1:15" s="552" customFormat="1" ht="15" customHeight="1" x14ac:dyDescent="0.25">
      <c r="A1638" s="543"/>
      <c r="B1638" s="544" t="s">
        <v>715</v>
      </c>
      <c r="C1638" s="513">
        <v>4750</v>
      </c>
      <c r="D1638" s="545" t="s">
        <v>714</v>
      </c>
      <c r="E1638" s="514" t="s">
        <v>42</v>
      </c>
      <c r="F1638" s="546">
        <v>0.25</v>
      </c>
      <c r="G1638" s="547">
        <v>12.57</v>
      </c>
      <c r="H1638" s="548"/>
      <c r="I1638" s="547">
        <f t="shared" ref="I1638:I1639" si="219">F1638*G1638</f>
        <v>3.1425000000000001</v>
      </c>
      <c r="J1638" s="549"/>
      <c r="K1638" s="548"/>
      <c r="L1638" s="547"/>
      <c r="M1638" s="549"/>
      <c r="N1638" s="550"/>
      <c r="O1638" s="551"/>
    </row>
    <row r="1639" spans="1:15" s="552" customFormat="1" ht="15" customHeight="1" x14ac:dyDescent="0.25">
      <c r="A1639" s="543"/>
      <c r="B1639" s="544" t="s">
        <v>658</v>
      </c>
      <c r="C1639" s="513">
        <v>6111</v>
      </c>
      <c r="D1639" s="545" t="s">
        <v>670</v>
      </c>
      <c r="E1639" s="514" t="s">
        <v>42</v>
      </c>
      <c r="F1639" s="546">
        <v>0.25</v>
      </c>
      <c r="G1639" s="547">
        <v>8.92</v>
      </c>
      <c r="H1639" s="548"/>
      <c r="I1639" s="547">
        <f t="shared" si="219"/>
        <v>2.23</v>
      </c>
      <c r="J1639" s="549"/>
      <c r="K1639" s="548"/>
      <c r="L1639" s="547"/>
      <c r="M1639" s="549"/>
      <c r="N1639" s="550"/>
      <c r="O1639" s="551"/>
    </row>
    <row r="1640" spans="1:15" s="179" customFormat="1" ht="11.25" x14ac:dyDescent="0.25">
      <c r="A1640" s="173"/>
      <c r="B1640" s="174"/>
      <c r="C1640" s="175"/>
      <c r="D1640" s="176"/>
      <c r="E1640" s="177"/>
      <c r="F1640" s="178"/>
      <c r="G1640" s="33"/>
      <c r="H1640" s="108"/>
      <c r="I1640" s="33"/>
      <c r="J1640" s="109"/>
      <c r="K1640" s="108"/>
      <c r="L1640" s="33"/>
      <c r="M1640" s="109"/>
      <c r="N1640" s="92"/>
      <c r="O1640" s="222"/>
    </row>
    <row r="1641" spans="1:15" s="23" customFormat="1" ht="31.5" x14ac:dyDescent="0.2">
      <c r="A1641" s="149"/>
      <c r="B1641" s="150"/>
      <c r="C1641" s="511">
        <v>8</v>
      </c>
      <c r="D1641" s="151" t="s">
        <v>1139</v>
      </c>
      <c r="E1641" s="152"/>
      <c r="F1641" s="151"/>
      <c r="G1641" s="152"/>
      <c r="H1641" s="153"/>
      <c r="I1641" s="154"/>
      <c r="J1641" s="155"/>
      <c r="K1641" s="153"/>
      <c r="L1641" s="154"/>
      <c r="M1641" s="155"/>
      <c r="N1641" s="156"/>
      <c r="O1641" s="157">
        <f>SUM(O1643:O1709)/2</f>
        <v>9306.8959449600025</v>
      </c>
    </row>
    <row r="1642" spans="1:15" s="23" customFormat="1" ht="14.25" x14ac:dyDescent="0.2">
      <c r="A1642" s="134"/>
      <c r="B1642" s="129"/>
      <c r="C1642" s="29"/>
      <c r="D1642" s="117"/>
      <c r="E1642" s="30"/>
      <c r="F1642" s="118"/>
      <c r="G1642" s="31"/>
      <c r="H1642" s="104"/>
      <c r="I1642" s="27"/>
      <c r="J1642" s="105"/>
      <c r="K1642" s="104"/>
      <c r="L1642" s="27"/>
      <c r="M1642" s="105"/>
      <c r="N1642" s="93"/>
      <c r="O1642" s="93"/>
    </row>
    <row r="1643" spans="1:15" s="266" customFormat="1" ht="12.75" x14ac:dyDescent="0.2">
      <c r="A1643" s="516"/>
      <c r="B1643" s="517"/>
      <c r="C1643" s="518" t="s">
        <v>957</v>
      </c>
      <c r="D1643" s="519" t="s">
        <v>167</v>
      </c>
      <c r="E1643" s="520"/>
      <c r="F1643" s="519"/>
      <c r="G1643" s="520"/>
      <c r="H1643" s="521"/>
      <c r="I1643" s="522"/>
      <c r="J1643" s="523"/>
      <c r="K1643" s="521"/>
      <c r="L1643" s="522"/>
      <c r="M1643" s="523"/>
      <c r="N1643" s="524"/>
      <c r="O1643" s="525">
        <f>SUM(O1645:O1647)</f>
        <v>167.82261047999998</v>
      </c>
    </row>
    <row r="1644" spans="1:15" s="23" customFormat="1" ht="14.25" x14ac:dyDescent="0.2">
      <c r="A1644" s="134"/>
      <c r="B1644" s="130"/>
      <c r="C1644" s="34"/>
      <c r="D1644" s="117" t="s">
        <v>83</v>
      </c>
      <c r="E1644" s="30"/>
      <c r="F1644" s="118"/>
      <c r="G1644" s="31"/>
      <c r="H1644" s="104"/>
      <c r="I1644" s="27"/>
      <c r="J1644" s="105"/>
      <c r="K1644" s="104"/>
      <c r="L1644" s="27"/>
      <c r="M1644" s="105"/>
      <c r="N1644" s="91"/>
      <c r="O1644" s="91"/>
    </row>
    <row r="1645" spans="1:15" s="23" customFormat="1" ht="22.5" x14ac:dyDescent="0.2">
      <c r="A1645" s="223"/>
      <c r="B1645" s="224" t="s">
        <v>231</v>
      </c>
      <c r="C1645" s="225" t="s">
        <v>958</v>
      </c>
      <c r="D1645" s="226" t="s">
        <v>229</v>
      </c>
      <c r="E1645" s="225" t="s">
        <v>58</v>
      </c>
      <c r="F1645" s="515">
        <f>2*(1.9*2.1)+(0.9*2.1)</f>
        <v>9.8699999999999992</v>
      </c>
      <c r="G1645" s="228"/>
      <c r="H1645" s="229">
        <f>ROUND(SUM(H1646:H1647),2)</f>
        <v>0</v>
      </c>
      <c r="I1645" s="229">
        <f>ROUND(SUM(I1646),2)</f>
        <v>13.38</v>
      </c>
      <c r="J1645" s="231">
        <f>(H1645+I1645)</f>
        <v>13.38</v>
      </c>
      <c r="K1645" s="229">
        <f>F1645*H1645</f>
        <v>0</v>
      </c>
      <c r="L1645" s="230">
        <f>F1645*I1645</f>
        <v>132.06059999999999</v>
      </c>
      <c r="M1645" s="231">
        <f>K1645+L1645</f>
        <v>132.06059999999999</v>
      </c>
      <c r="N1645" s="227">
        <f>M1645*$N$7</f>
        <v>35.762010479999994</v>
      </c>
      <c r="O1645" s="227">
        <f>M1645+N1645</f>
        <v>167.82261047999998</v>
      </c>
    </row>
    <row r="1646" spans="1:15" s="552" customFormat="1" ht="15" customHeight="1" x14ac:dyDescent="0.25">
      <c r="A1646" s="543"/>
      <c r="B1646" s="544" t="s">
        <v>658</v>
      </c>
      <c r="C1646" s="513">
        <v>6111</v>
      </c>
      <c r="D1646" s="545" t="s">
        <v>670</v>
      </c>
      <c r="E1646" s="514" t="s">
        <v>42</v>
      </c>
      <c r="F1646" s="546">
        <v>1.5</v>
      </c>
      <c r="G1646" s="547">
        <v>8.92</v>
      </c>
      <c r="H1646" s="548"/>
      <c r="I1646" s="547">
        <f>F1646*G1646</f>
        <v>13.379999999999999</v>
      </c>
      <c r="J1646" s="549"/>
      <c r="K1646" s="548"/>
      <c r="L1646" s="547"/>
      <c r="M1646" s="549"/>
      <c r="N1646" s="550"/>
      <c r="O1646" s="551"/>
    </row>
    <row r="1647" spans="1:15" s="167" customFormat="1" ht="11.25" x14ac:dyDescent="0.2">
      <c r="A1647" s="170"/>
      <c r="B1647" s="129"/>
      <c r="C1647" s="29"/>
      <c r="D1647" s="117" t="s">
        <v>83</v>
      </c>
      <c r="E1647" s="30"/>
      <c r="F1647" s="118"/>
      <c r="G1647" s="31"/>
      <c r="H1647" s="104"/>
      <c r="I1647" s="27"/>
      <c r="J1647" s="105"/>
      <c r="K1647" s="104"/>
      <c r="L1647" s="27"/>
      <c r="M1647" s="105"/>
      <c r="N1647" s="93"/>
      <c r="O1647" s="206"/>
    </row>
    <row r="1648" spans="1:15" s="266" customFormat="1" ht="12.75" x14ac:dyDescent="0.2">
      <c r="A1648" s="516"/>
      <c r="B1648" s="517"/>
      <c r="C1648" s="518" t="s">
        <v>959</v>
      </c>
      <c r="D1648" s="519" t="s">
        <v>103</v>
      </c>
      <c r="E1648" s="520"/>
      <c r="F1648" s="519"/>
      <c r="G1648" s="520"/>
      <c r="H1648" s="521"/>
      <c r="I1648" s="522"/>
      <c r="J1648" s="523"/>
      <c r="K1648" s="521"/>
      <c r="L1648" s="522"/>
      <c r="M1648" s="523"/>
      <c r="N1648" s="524"/>
      <c r="O1648" s="525">
        <f>SUM(O1650:O1680)</f>
        <v>7390.0362204000003</v>
      </c>
    </row>
    <row r="1649" spans="1:15" s="23" customFormat="1" ht="14.25" x14ac:dyDescent="0.2">
      <c r="A1649" s="134"/>
      <c r="B1649" s="129"/>
      <c r="C1649" s="29"/>
      <c r="D1649" s="117" t="s">
        <v>83</v>
      </c>
      <c r="E1649" s="30"/>
      <c r="F1649" s="118"/>
      <c r="G1649" s="31"/>
      <c r="H1649" s="104"/>
      <c r="I1649" s="27"/>
      <c r="J1649" s="105"/>
      <c r="K1649" s="104"/>
      <c r="L1649" s="27"/>
      <c r="M1649" s="105"/>
      <c r="N1649" s="92"/>
      <c r="O1649" s="92"/>
    </row>
    <row r="1650" spans="1:15" s="23" customFormat="1" ht="45" x14ac:dyDescent="0.2">
      <c r="A1650" s="223" t="s">
        <v>78</v>
      </c>
      <c r="B1650" s="224" t="s">
        <v>948</v>
      </c>
      <c r="C1650" s="225" t="s">
        <v>960</v>
      </c>
      <c r="D1650" s="226" t="s">
        <v>1135</v>
      </c>
      <c r="E1650" s="225" t="s">
        <v>81</v>
      </c>
      <c r="F1650" s="515">
        <v>1</v>
      </c>
      <c r="G1650" s="228"/>
      <c r="H1650" s="229">
        <f>ROUND(SUM(H1651:H1661),2)</f>
        <v>1109.82</v>
      </c>
      <c r="I1650" s="229">
        <f>ROUND(SUM(I1651:I1662),2)</f>
        <v>150.59</v>
      </c>
      <c r="J1650" s="231">
        <f>(H1650+I1650)</f>
        <v>1260.4099999999999</v>
      </c>
      <c r="K1650" s="229">
        <f>F1650*H1650</f>
        <v>1109.82</v>
      </c>
      <c r="L1650" s="230">
        <f>F1650*I1650</f>
        <v>150.59</v>
      </c>
      <c r="M1650" s="231">
        <f>K1650+L1650</f>
        <v>1260.4099999999999</v>
      </c>
      <c r="N1650" s="227">
        <f>M1650*$N$7</f>
        <v>341.31902799999995</v>
      </c>
      <c r="O1650" s="227">
        <f>M1650+N1650</f>
        <v>1601.7290279999997</v>
      </c>
    </row>
    <row r="1651" spans="1:15" s="552" customFormat="1" ht="15" customHeight="1" x14ac:dyDescent="0.25">
      <c r="A1651" s="543"/>
      <c r="B1651" s="544" t="s">
        <v>715</v>
      </c>
      <c r="C1651" s="513">
        <v>1214</v>
      </c>
      <c r="D1651" s="545" t="s">
        <v>713</v>
      </c>
      <c r="E1651" s="514" t="s">
        <v>42</v>
      </c>
      <c r="F1651" s="546">
        <v>4.17</v>
      </c>
      <c r="G1651" s="547">
        <v>12.39</v>
      </c>
      <c r="H1651" s="548"/>
      <c r="I1651" s="547">
        <f>F1651*G1651</f>
        <v>51.6663</v>
      </c>
      <c r="J1651" s="549"/>
      <c r="K1651" s="548"/>
      <c r="L1651" s="547"/>
      <c r="M1651" s="549"/>
      <c r="N1651" s="550"/>
      <c r="O1651" s="551"/>
    </row>
    <row r="1652" spans="1:15" s="552" customFormat="1" ht="15" customHeight="1" x14ac:dyDescent="0.25">
      <c r="A1652" s="543"/>
      <c r="B1652" s="544" t="s">
        <v>715</v>
      </c>
      <c r="C1652" s="513">
        <v>4750</v>
      </c>
      <c r="D1652" s="545" t="s">
        <v>714</v>
      </c>
      <c r="E1652" s="514" t="s">
        <v>42</v>
      </c>
      <c r="F1652" s="546">
        <v>2.86</v>
      </c>
      <c r="G1652" s="547">
        <v>12.57</v>
      </c>
      <c r="H1652" s="548"/>
      <c r="I1652" s="547">
        <f t="shared" ref="I1652:I1653" si="220">F1652*G1652</f>
        <v>35.950200000000002</v>
      </c>
      <c r="J1652" s="549"/>
      <c r="K1652" s="548"/>
      <c r="L1652" s="547"/>
      <c r="M1652" s="549"/>
      <c r="N1652" s="550"/>
      <c r="O1652" s="551"/>
    </row>
    <row r="1653" spans="1:15" s="552" customFormat="1" ht="15" customHeight="1" x14ac:dyDescent="0.25">
      <c r="A1653" s="543"/>
      <c r="B1653" s="544" t="s">
        <v>658</v>
      </c>
      <c r="C1653" s="513">
        <v>6111</v>
      </c>
      <c r="D1653" s="545" t="s">
        <v>670</v>
      </c>
      <c r="E1653" s="514" t="s">
        <v>42</v>
      </c>
      <c r="F1653" s="546">
        <v>7.06</v>
      </c>
      <c r="G1653" s="547">
        <v>8.92</v>
      </c>
      <c r="H1653" s="548"/>
      <c r="I1653" s="547">
        <f t="shared" si="220"/>
        <v>62.975199999999994</v>
      </c>
      <c r="J1653" s="549"/>
      <c r="K1653" s="548"/>
      <c r="L1653" s="547"/>
      <c r="M1653" s="549"/>
      <c r="N1653" s="550"/>
      <c r="O1653" s="551"/>
    </row>
    <row r="1654" spans="1:15" s="552" customFormat="1" ht="15" customHeight="1" x14ac:dyDescent="0.25">
      <c r="A1654" s="543"/>
      <c r="B1654" s="544" t="s">
        <v>664</v>
      </c>
      <c r="C1654" s="513">
        <v>88627</v>
      </c>
      <c r="D1654" s="545" t="s">
        <v>706</v>
      </c>
      <c r="E1654" s="514" t="s">
        <v>233</v>
      </c>
      <c r="F1654" s="546">
        <v>0.02</v>
      </c>
      <c r="G1654" s="547">
        <v>392.17</v>
      </c>
      <c r="H1654" s="548">
        <f t="shared" ref="H1654:H1655" si="221">F1654*G1654</f>
        <v>7.8434000000000008</v>
      </c>
      <c r="I1654" s="547"/>
      <c r="J1654" s="549"/>
      <c r="K1654" s="548"/>
      <c r="L1654" s="547"/>
      <c r="M1654" s="549"/>
      <c r="N1654" s="550"/>
      <c r="O1654" s="551"/>
    </row>
    <row r="1655" spans="1:15" s="552" customFormat="1" ht="15" customHeight="1" x14ac:dyDescent="0.25">
      <c r="A1655" s="543"/>
      <c r="B1655" s="544" t="s">
        <v>657</v>
      </c>
      <c r="C1655" s="513">
        <v>183</v>
      </c>
      <c r="D1655" s="545" t="s">
        <v>707</v>
      </c>
      <c r="E1655" s="514" t="s">
        <v>708</v>
      </c>
      <c r="F1655" s="546">
        <v>2</v>
      </c>
      <c r="G1655" s="547">
        <v>107.3</v>
      </c>
      <c r="H1655" s="548">
        <f t="shared" si="221"/>
        <v>214.6</v>
      </c>
      <c r="I1655" s="547"/>
      <c r="J1655" s="549"/>
      <c r="K1655" s="548"/>
      <c r="L1655" s="547"/>
      <c r="M1655" s="549"/>
      <c r="N1655" s="550"/>
      <c r="O1655" s="551"/>
    </row>
    <row r="1656" spans="1:15" s="552" customFormat="1" ht="15" customHeight="1" x14ac:dyDescent="0.25">
      <c r="A1656" s="543"/>
      <c r="B1656" s="544" t="s">
        <v>657</v>
      </c>
      <c r="C1656" s="513">
        <v>187</v>
      </c>
      <c r="D1656" s="545" t="s">
        <v>711</v>
      </c>
      <c r="E1656" s="514" t="s">
        <v>56</v>
      </c>
      <c r="F1656" s="546">
        <v>12</v>
      </c>
      <c r="G1656" s="547">
        <v>7.85</v>
      </c>
      <c r="H1656" s="548">
        <f>F1656*G1656</f>
        <v>94.199999999999989</v>
      </c>
      <c r="I1656" s="547"/>
      <c r="J1656" s="549"/>
      <c r="K1656" s="548"/>
      <c r="L1656" s="547"/>
      <c r="M1656" s="549"/>
      <c r="N1656" s="550"/>
      <c r="O1656" s="551"/>
    </row>
    <row r="1657" spans="1:15" s="552" customFormat="1" ht="15" customHeight="1" x14ac:dyDescent="0.25">
      <c r="A1657" s="543"/>
      <c r="B1657" s="544" t="s">
        <v>658</v>
      </c>
      <c r="C1657" s="513">
        <v>4378</v>
      </c>
      <c r="D1657" s="545" t="s">
        <v>709</v>
      </c>
      <c r="E1657" s="514" t="s">
        <v>41</v>
      </c>
      <c r="F1657" s="546">
        <v>12</v>
      </c>
      <c r="G1657" s="547">
        <v>0.47</v>
      </c>
      <c r="H1657" s="548">
        <f>F1657*G1657</f>
        <v>5.64</v>
      </c>
      <c r="I1657" s="547"/>
      <c r="J1657" s="549"/>
      <c r="K1657" s="548"/>
      <c r="L1657" s="547"/>
      <c r="M1657" s="549"/>
      <c r="N1657" s="550"/>
      <c r="O1657" s="551"/>
    </row>
    <row r="1658" spans="1:15" s="552" customFormat="1" ht="15" customHeight="1" x14ac:dyDescent="0.25">
      <c r="A1658" s="543"/>
      <c r="B1658" s="544" t="s">
        <v>658</v>
      </c>
      <c r="C1658" s="513">
        <v>4419</v>
      </c>
      <c r="D1658" s="545" t="s">
        <v>710</v>
      </c>
      <c r="E1658" s="514" t="s">
        <v>41</v>
      </c>
      <c r="F1658" s="546">
        <v>12</v>
      </c>
      <c r="G1658" s="547">
        <v>0.66</v>
      </c>
      <c r="H1658" s="548">
        <f>F1658*G1658</f>
        <v>7.92</v>
      </c>
      <c r="I1658" s="547"/>
      <c r="J1658" s="549"/>
      <c r="K1658" s="548"/>
      <c r="L1658" s="547"/>
      <c r="M1658" s="549"/>
      <c r="N1658" s="550"/>
      <c r="O1658" s="551"/>
    </row>
    <row r="1659" spans="1:15" s="552" customFormat="1" ht="15" customHeight="1" x14ac:dyDescent="0.25">
      <c r="A1659" s="543"/>
      <c r="B1659" s="544" t="s">
        <v>658</v>
      </c>
      <c r="C1659" s="513">
        <v>4987</v>
      </c>
      <c r="D1659" s="545" t="s">
        <v>719</v>
      </c>
      <c r="E1659" s="514" t="s">
        <v>41</v>
      </c>
      <c r="F1659" s="546">
        <v>2</v>
      </c>
      <c r="G1659" s="547">
        <v>116.22</v>
      </c>
      <c r="H1659" s="548">
        <f t="shared" ref="H1659" si="222">F1659*G1659</f>
        <v>232.44</v>
      </c>
      <c r="I1659" s="547"/>
      <c r="J1659" s="549"/>
      <c r="K1659" s="548"/>
      <c r="L1659" s="547"/>
      <c r="M1659" s="549"/>
      <c r="N1659" s="550"/>
      <c r="O1659" s="551"/>
    </row>
    <row r="1660" spans="1:15" s="552" customFormat="1" ht="15" customHeight="1" x14ac:dyDescent="0.25">
      <c r="A1660" s="543"/>
      <c r="B1660" s="544" t="s">
        <v>80</v>
      </c>
      <c r="C1660" s="513"/>
      <c r="D1660" s="545" t="s">
        <v>722</v>
      </c>
      <c r="E1660" s="514" t="s">
        <v>41</v>
      </c>
      <c r="F1660" s="546">
        <v>2</v>
      </c>
      <c r="G1660" s="547">
        <v>269</v>
      </c>
      <c r="H1660" s="548">
        <f>F1660*G1660</f>
        <v>538</v>
      </c>
      <c r="I1660" s="547"/>
      <c r="J1660" s="549"/>
      <c r="K1660" s="548"/>
      <c r="L1660" s="547"/>
      <c r="M1660" s="549"/>
      <c r="N1660" s="550"/>
      <c r="O1660" s="551"/>
    </row>
    <row r="1661" spans="1:15" s="552" customFormat="1" ht="15" customHeight="1" x14ac:dyDescent="0.25">
      <c r="A1661" s="543"/>
      <c r="B1661" s="544" t="s">
        <v>658</v>
      </c>
      <c r="C1661" s="513">
        <v>20247</v>
      </c>
      <c r="D1661" s="545" t="s">
        <v>712</v>
      </c>
      <c r="E1661" s="514" t="s">
        <v>694</v>
      </c>
      <c r="F1661" s="546">
        <v>1.22</v>
      </c>
      <c r="G1661" s="547">
        <v>7.52</v>
      </c>
      <c r="H1661" s="548">
        <f t="shared" ref="H1661" si="223">F1661*G1661</f>
        <v>9.1743999999999986</v>
      </c>
      <c r="I1661" s="547"/>
      <c r="J1661" s="549"/>
      <c r="K1661" s="548"/>
      <c r="L1661" s="547"/>
      <c r="M1661" s="549"/>
      <c r="N1661" s="550"/>
      <c r="O1661" s="551"/>
    </row>
    <row r="1662" spans="1:15" s="23" customFormat="1" ht="14.25" x14ac:dyDescent="0.2">
      <c r="A1662" s="134"/>
      <c r="B1662" s="129"/>
      <c r="C1662" s="29"/>
      <c r="D1662" s="117" t="s">
        <v>83</v>
      </c>
      <c r="E1662" s="30"/>
      <c r="F1662" s="118"/>
      <c r="G1662" s="31"/>
      <c r="H1662" s="104"/>
      <c r="I1662" s="27"/>
      <c r="J1662" s="105"/>
      <c r="K1662" s="104"/>
      <c r="L1662" s="27"/>
      <c r="M1662" s="105"/>
      <c r="N1662" s="92"/>
      <c r="O1662" s="92"/>
    </row>
    <row r="1663" spans="1:15" s="23" customFormat="1" ht="22.5" x14ac:dyDescent="0.2">
      <c r="A1663" s="223" t="s">
        <v>79</v>
      </c>
      <c r="B1663" s="575" t="s">
        <v>951</v>
      </c>
      <c r="C1663" s="225" t="s">
        <v>961</v>
      </c>
      <c r="D1663" s="232" t="s">
        <v>1308</v>
      </c>
      <c r="E1663" s="225" t="s">
        <v>81</v>
      </c>
      <c r="F1663" s="515">
        <v>1</v>
      </c>
      <c r="G1663" s="228"/>
      <c r="H1663" s="229">
        <f>ROUND(SUM(H1664:H1669),2)</f>
        <v>2248.42</v>
      </c>
      <c r="I1663" s="229">
        <f>ROUND(SUM(I1664:I1670),2)</f>
        <v>128.94</v>
      </c>
      <c r="J1663" s="231">
        <f>(H1663+I1663)</f>
        <v>2377.36</v>
      </c>
      <c r="K1663" s="229">
        <f>F1663*H1663</f>
        <v>2248.42</v>
      </c>
      <c r="L1663" s="230">
        <f>F1663*I1663</f>
        <v>128.94</v>
      </c>
      <c r="M1663" s="231">
        <f>K1663+L1663</f>
        <v>2377.36</v>
      </c>
      <c r="N1663" s="227">
        <f>M1663*$N$7</f>
        <v>643.78908799999999</v>
      </c>
      <c r="O1663" s="227">
        <f>M1663+N1663</f>
        <v>3021.1490880000001</v>
      </c>
    </row>
    <row r="1664" spans="1:15" s="552" customFormat="1" ht="15" customHeight="1" x14ac:dyDescent="0.25">
      <c r="A1664" s="543"/>
      <c r="B1664" s="544"/>
      <c r="C1664" s="513"/>
      <c r="D1664" s="545" t="s">
        <v>51</v>
      </c>
      <c r="E1664" s="514" t="s">
        <v>42</v>
      </c>
      <c r="F1664" s="546">
        <v>6</v>
      </c>
      <c r="G1664" s="547">
        <v>12.57</v>
      </c>
      <c r="H1664" s="548"/>
      <c r="I1664" s="547">
        <f>F1664*G1664</f>
        <v>75.42</v>
      </c>
      <c r="J1664" s="549"/>
      <c r="K1664" s="548"/>
      <c r="L1664" s="547"/>
      <c r="M1664" s="549"/>
      <c r="N1664" s="550"/>
      <c r="O1664" s="551"/>
    </row>
    <row r="1665" spans="1:15" s="552" customFormat="1" ht="15" customHeight="1" x14ac:dyDescent="0.25">
      <c r="A1665" s="543"/>
      <c r="B1665" s="544"/>
      <c r="C1665" s="513"/>
      <c r="D1665" s="545" t="s">
        <v>30</v>
      </c>
      <c r="E1665" s="514" t="s">
        <v>42</v>
      </c>
      <c r="F1665" s="546">
        <v>6</v>
      </c>
      <c r="G1665" s="547">
        <v>8.92</v>
      </c>
      <c r="H1665" s="548"/>
      <c r="I1665" s="547">
        <f t="shared" ref="I1665" si="224">F1665*G1665</f>
        <v>53.519999999999996</v>
      </c>
      <c r="J1665" s="549"/>
      <c r="K1665" s="548"/>
      <c r="L1665" s="547"/>
      <c r="M1665" s="549"/>
      <c r="N1665" s="550"/>
      <c r="O1665" s="551"/>
    </row>
    <row r="1666" spans="1:15" s="552" customFormat="1" ht="15" customHeight="1" x14ac:dyDescent="0.25">
      <c r="A1666" s="543"/>
      <c r="B1666" s="544"/>
      <c r="C1666" s="513"/>
      <c r="D1666" s="545" t="s">
        <v>400</v>
      </c>
      <c r="E1666" s="514" t="s">
        <v>233</v>
      </c>
      <c r="F1666" s="546">
        <v>2.8899999999999999E-2</v>
      </c>
      <c r="G1666" s="547">
        <v>54.27</v>
      </c>
      <c r="H1666" s="548">
        <f t="shared" ref="H1666:H1668" si="225">F1666*G1666</f>
        <v>1.568403</v>
      </c>
      <c r="I1666" s="547"/>
      <c r="J1666" s="549"/>
      <c r="K1666" s="548"/>
      <c r="L1666" s="547"/>
      <c r="M1666" s="549"/>
      <c r="N1666" s="550"/>
      <c r="O1666" s="551"/>
    </row>
    <row r="1667" spans="1:15" s="552" customFormat="1" ht="15" customHeight="1" x14ac:dyDescent="0.25">
      <c r="A1667" s="543"/>
      <c r="B1667" s="544"/>
      <c r="C1667" s="513"/>
      <c r="D1667" s="545" t="s">
        <v>950</v>
      </c>
      <c r="E1667" s="514" t="s">
        <v>233</v>
      </c>
      <c r="F1667" s="546">
        <v>3.1699999999999999E-2</v>
      </c>
      <c r="G1667" s="547">
        <v>50.5</v>
      </c>
      <c r="H1667" s="548">
        <f t="shared" si="225"/>
        <v>1.6008499999999999</v>
      </c>
      <c r="I1667" s="547"/>
      <c r="J1667" s="549"/>
      <c r="K1667" s="548"/>
      <c r="L1667" s="547"/>
      <c r="M1667" s="549"/>
      <c r="N1667" s="550"/>
      <c r="O1667" s="551"/>
    </row>
    <row r="1668" spans="1:15" s="552" customFormat="1" ht="15" customHeight="1" x14ac:dyDescent="0.25">
      <c r="A1668" s="543"/>
      <c r="B1668" s="544"/>
      <c r="C1668" s="513"/>
      <c r="D1668" s="545" t="s">
        <v>232</v>
      </c>
      <c r="E1668" s="514" t="s">
        <v>48</v>
      </c>
      <c r="F1668" s="546">
        <v>14.2</v>
      </c>
      <c r="G1668" s="547">
        <v>0.44</v>
      </c>
      <c r="H1668" s="548">
        <f t="shared" si="225"/>
        <v>6.2479999999999993</v>
      </c>
      <c r="I1668" s="547"/>
      <c r="J1668" s="549"/>
      <c r="K1668" s="548"/>
      <c r="L1668" s="547"/>
      <c r="M1668" s="549"/>
      <c r="N1668" s="550"/>
      <c r="O1668" s="551"/>
    </row>
    <row r="1669" spans="1:15" s="552" customFormat="1" ht="15" customHeight="1" x14ac:dyDescent="0.25">
      <c r="A1669" s="543"/>
      <c r="B1669" s="544"/>
      <c r="C1669" s="513" t="s">
        <v>28</v>
      </c>
      <c r="D1669" s="545" t="s">
        <v>1309</v>
      </c>
      <c r="E1669" s="514" t="s">
        <v>238</v>
      </c>
      <c r="F1669" s="546">
        <v>1</v>
      </c>
      <c r="G1669" s="547">
        <v>2239</v>
      </c>
      <c r="H1669" s="548">
        <f>F1669*G1669</f>
        <v>2239</v>
      </c>
      <c r="I1669" s="547"/>
      <c r="J1669" s="549"/>
      <c r="K1669" s="548"/>
      <c r="L1669" s="547"/>
      <c r="M1669" s="549"/>
      <c r="N1669" s="550"/>
      <c r="O1669" s="551"/>
    </row>
    <row r="1670" spans="1:15" s="23" customFormat="1" ht="14.25" x14ac:dyDescent="0.2">
      <c r="A1670" s="134"/>
      <c r="B1670" s="129"/>
      <c r="C1670" s="29"/>
      <c r="D1670" s="117" t="s">
        <v>83</v>
      </c>
      <c r="E1670" s="30"/>
      <c r="F1670" s="118"/>
      <c r="G1670" s="31"/>
      <c r="H1670" s="104"/>
      <c r="I1670" s="27"/>
      <c r="J1670" s="105"/>
      <c r="K1670" s="104"/>
      <c r="L1670" s="27"/>
      <c r="M1670" s="105"/>
      <c r="N1670" s="92"/>
      <c r="O1670" s="92"/>
    </row>
    <row r="1671" spans="1:15" s="23" customFormat="1" ht="14.25" x14ac:dyDescent="0.2">
      <c r="A1671" s="134"/>
      <c r="B1671" s="129"/>
      <c r="C1671" s="29"/>
      <c r="D1671" s="117" t="s">
        <v>83</v>
      </c>
      <c r="E1671" s="30"/>
      <c r="F1671" s="476"/>
      <c r="G1671" s="477"/>
      <c r="H1671" s="478"/>
      <c r="I1671" s="479"/>
      <c r="J1671" s="480"/>
      <c r="K1671" s="478"/>
      <c r="L1671" s="479"/>
      <c r="M1671" s="480"/>
      <c r="N1671" s="92"/>
      <c r="O1671" s="92"/>
    </row>
    <row r="1672" spans="1:15" s="23" customFormat="1" ht="22.5" x14ac:dyDescent="0.2">
      <c r="A1672" s="223" t="s">
        <v>78</v>
      </c>
      <c r="B1672" s="224" t="s">
        <v>1057</v>
      </c>
      <c r="C1672" s="225" t="s">
        <v>1141</v>
      </c>
      <c r="D1672" s="232" t="s">
        <v>1140</v>
      </c>
      <c r="E1672" s="225" t="s">
        <v>58</v>
      </c>
      <c r="F1672" s="515">
        <v>1.9</v>
      </c>
      <c r="G1672" s="228"/>
      <c r="H1672" s="229">
        <f>ROUND(SUM(H1673:H1677),2)</f>
        <v>473.12</v>
      </c>
      <c r="I1672" s="229">
        <f>ROUND(SUM(I1673:I1677),2)</f>
        <v>41.35</v>
      </c>
      <c r="J1672" s="231">
        <f>(H1672+I1672)</f>
        <v>514.47</v>
      </c>
      <c r="K1672" s="229">
        <f>F1672*H1672</f>
        <v>898.928</v>
      </c>
      <c r="L1672" s="230">
        <f>F1672*I1672</f>
        <v>78.564999999999998</v>
      </c>
      <c r="M1672" s="231">
        <f>K1672+L1672</f>
        <v>977.49299999999994</v>
      </c>
      <c r="N1672" s="227">
        <f>M1672*$N$7</f>
        <v>264.70510439999998</v>
      </c>
      <c r="O1672" s="227">
        <f>M1672+N1672</f>
        <v>1242.1981043999999</v>
      </c>
    </row>
    <row r="1673" spans="1:15" s="552" customFormat="1" ht="15" customHeight="1" x14ac:dyDescent="0.25">
      <c r="A1673" s="543"/>
      <c r="B1673" s="544" t="s">
        <v>664</v>
      </c>
      <c r="C1673" s="513">
        <v>88309</v>
      </c>
      <c r="D1673" s="545" t="s">
        <v>1061</v>
      </c>
      <c r="E1673" s="514" t="s">
        <v>42</v>
      </c>
      <c r="F1673" s="546">
        <v>0.5</v>
      </c>
      <c r="G1673" s="547">
        <v>12.57</v>
      </c>
      <c r="H1673" s="548"/>
      <c r="I1673" s="547">
        <f>F1673*G1673</f>
        <v>6.2850000000000001</v>
      </c>
      <c r="J1673" s="549"/>
      <c r="K1673" s="548"/>
      <c r="L1673" s="547"/>
      <c r="M1673" s="549"/>
      <c r="N1673" s="550"/>
      <c r="O1673" s="551"/>
    </row>
    <row r="1674" spans="1:15" s="552" customFormat="1" ht="15" customHeight="1" x14ac:dyDescent="0.25">
      <c r="A1674" s="543"/>
      <c r="B1674" s="544" t="s">
        <v>664</v>
      </c>
      <c r="C1674" s="513">
        <v>88315</v>
      </c>
      <c r="D1674" s="545" t="s">
        <v>1062</v>
      </c>
      <c r="E1674" s="514" t="s">
        <v>42</v>
      </c>
      <c r="F1674" s="546">
        <v>1.3</v>
      </c>
      <c r="G1674" s="547">
        <v>11.88</v>
      </c>
      <c r="H1674" s="548"/>
      <c r="I1674" s="547">
        <f t="shared" ref="I1674:I1675" si="226">F1674*G1674</f>
        <v>15.444000000000001</v>
      </c>
      <c r="J1674" s="549"/>
      <c r="K1674" s="548"/>
      <c r="L1674" s="547"/>
      <c r="M1674" s="549"/>
      <c r="N1674" s="550"/>
      <c r="O1674" s="551"/>
    </row>
    <row r="1675" spans="1:15" s="552" customFormat="1" ht="15" customHeight="1" x14ac:dyDescent="0.25">
      <c r="A1675" s="543"/>
      <c r="B1675" s="544" t="s">
        <v>664</v>
      </c>
      <c r="C1675" s="513">
        <v>6111</v>
      </c>
      <c r="D1675" s="545" t="s">
        <v>1063</v>
      </c>
      <c r="E1675" s="514" t="s">
        <v>42</v>
      </c>
      <c r="F1675" s="546">
        <v>2.2000000000000002</v>
      </c>
      <c r="G1675" s="547">
        <v>8.92</v>
      </c>
      <c r="H1675" s="548"/>
      <c r="I1675" s="547">
        <f t="shared" si="226"/>
        <v>19.624000000000002</v>
      </c>
      <c r="J1675" s="549"/>
      <c r="K1675" s="548"/>
      <c r="L1675" s="547"/>
      <c r="M1675" s="549"/>
      <c r="N1675" s="550"/>
      <c r="O1675" s="551"/>
    </row>
    <row r="1676" spans="1:15" s="552" customFormat="1" ht="26.25" customHeight="1" x14ac:dyDescent="0.25">
      <c r="A1676" s="543"/>
      <c r="B1676" s="544" t="s">
        <v>664</v>
      </c>
      <c r="C1676" s="513">
        <v>88627</v>
      </c>
      <c r="D1676" s="545" t="s">
        <v>1059</v>
      </c>
      <c r="E1676" s="514" t="s">
        <v>696</v>
      </c>
      <c r="F1676" s="546">
        <v>6.0000000000000001E-3</v>
      </c>
      <c r="G1676" s="547">
        <v>392.17</v>
      </c>
      <c r="H1676" s="548">
        <f>F1676*G1676</f>
        <v>2.3530200000000003</v>
      </c>
      <c r="I1676" s="547"/>
      <c r="J1676" s="549"/>
      <c r="K1676" s="548"/>
      <c r="L1676" s="547"/>
      <c r="M1676" s="549"/>
      <c r="N1676" s="550"/>
      <c r="O1676" s="551"/>
    </row>
    <row r="1677" spans="1:15" s="552" customFormat="1" ht="15" customHeight="1" x14ac:dyDescent="0.25">
      <c r="A1677" s="543"/>
      <c r="B1677" s="544" t="s">
        <v>657</v>
      </c>
      <c r="C1677" s="513">
        <v>4914</v>
      </c>
      <c r="D1677" s="545" t="s">
        <v>1060</v>
      </c>
      <c r="E1677" s="514" t="s">
        <v>94</v>
      </c>
      <c r="F1677" s="546">
        <v>1</v>
      </c>
      <c r="G1677" s="547">
        <v>470.77</v>
      </c>
      <c r="H1677" s="548">
        <f>F1677*G1677</f>
        <v>470.77</v>
      </c>
      <c r="I1677" s="547"/>
      <c r="J1677" s="549"/>
      <c r="K1677" s="548"/>
      <c r="L1677" s="547"/>
      <c r="M1677" s="549"/>
      <c r="N1677" s="550"/>
      <c r="O1677" s="551"/>
    </row>
    <row r="1678" spans="1:15" s="552" customFormat="1" ht="15" customHeight="1" x14ac:dyDescent="0.25">
      <c r="A1678" s="543"/>
      <c r="B1678" s="544"/>
      <c r="C1678" s="513"/>
      <c r="D1678" s="545"/>
      <c r="E1678" s="514"/>
      <c r="F1678" s="546"/>
      <c r="G1678" s="547"/>
      <c r="H1678" s="548"/>
      <c r="I1678" s="547"/>
      <c r="J1678" s="549"/>
      <c r="K1678" s="548"/>
      <c r="L1678" s="547"/>
      <c r="M1678" s="549"/>
      <c r="N1678" s="550"/>
      <c r="O1678" s="551"/>
    </row>
    <row r="1679" spans="1:15" s="23" customFormat="1" ht="45" x14ac:dyDescent="0.2">
      <c r="A1679" s="223" t="s">
        <v>1142</v>
      </c>
      <c r="B1679" s="224" t="s">
        <v>1143</v>
      </c>
      <c r="C1679" s="225" t="s">
        <v>1145</v>
      </c>
      <c r="D1679" s="226" t="s">
        <v>1144</v>
      </c>
      <c r="E1679" s="225" t="s">
        <v>81</v>
      </c>
      <c r="F1679" s="515">
        <v>1</v>
      </c>
      <c r="G1679" s="228"/>
      <c r="H1679" s="229">
        <v>1200</v>
      </c>
      <c r="I1679" s="229"/>
      <c r="J1679" s="231">
        <f>ROUND(H1679+I1679,2)</f>
        <v>1200</v>
      </c>
      <c r="K1679" s="229"/>
      <c r="L1679" s="230">
        <f>ROUND(F1679*H1679,2)</f>
        <v>1200</v>
      </c>
      <c r="M1679" s="231">
        <f>ROUND(K1679+L1679,2)</f>
        <v>1200</v>
      </c>
      <c r="N1679" s="227">
        <f>ROUND(M1679*$N$7,2)</f>
        <v>324.95999999999998</v>
      </c>
      <c r="O1679" s="227">
        <f>ROUND(M1679+N1679,2)</f>
        <v>1524.96</v>
      </c>
    </row>
    <row r="1680" spans="1:15" s="23" customFormat="1" ht="14.25" x14ac:dyDescent="0.2">
      <c r="A1680" s="619"/>
      <c r="B1680" s="620"/>
      <c r="C1680" s="621"/>
      <c r="D1680" s="622" t="s">
        <v>83</v>
      </c>
      <c r="E1680" s="623"/>
      <c r="F1680" s="624"/>
      <c r="G1680" s="625"/>
      <c r="H1680" s="626"/>
      <c r="I1680" s="627"/>
      <c r="J1680" s="628"/>
      <c r="K1680" s="626"/>
      <c r="L1680" s="627"/>
      <c r="M1680" s="628"/>
      <c r="N1680" s="629"/>
      <c r="O1680" s="630"/>
    </row>
    <row r="1681" spans="1:15" s="266" customFormat="1" ht="12.75" x14ac:dyDescent="0.2">
      <c r="A1681" s="516"/>
      <c r="B1681" s="517"/>
      <c r="C1681" s="518" t="s">
        <v>962</v>
      </c>
      <c r="D1681" s="519" t="s">
        <v>615</v>
      </c>
      <c r="E1681" s="520"/>
      <c r="F1681" s="519"/>
      <c r="G1681" s="520"/>
      <c r="H1681" s="521"/>
      <c r="I1681" s="522"/>
      <c r="J1681" s="523"/>
      <c r="K1681" s="521"/>
      <c r="L1681" s="522"/>
      <c r="M1681" s="523"/>
      <c r="N1681" s="524"/>
      <c r="O1681" s="525">
        <f>SUM(O1683:O1687)</f>
        <v>169.3188504</v>
      </c>
    </row>
    <row r="1682" spans="1:15" s="23" customFormat="1" ht="14.25" x14ac:dyDescent="0.2">
      <c r="A1682" s="134"/>
      <c r="B1682" s="129"/>
      <c r="C1682" s="29"/>
      <c r="D1682" s="117" t="s">
        <v>83</v>
      </c>
      <c r="E1682" s="30"/>
      <c r="F1682" s="118"/>
      <c r="G1682" s="31"/>
      <c r="H1682" s="104"/>
      <c r="I1682" s="27"/>
      <c r="J1682" s="105"/>
      <c r="K1682" s="104"/>
      <c r="L1682" s="27"/>
      <c r="M1682" s="105"/>
      <c r="N1682" s="92"/>
      <c r="O1682" s="92"/>
    </row>
    <row r="1683" spans="1:15" s="23" customFormat="1" ht="22.5" x14ac:dyDescent="0.2">
      <c r="A1683" s="223" t="s">
        <v>78</v>
      </c>
      <c r="B1683" s="224">
        <v>87530</v>
      </c>
      <c r="C1683" s="225" t="s">
        <v>963</v>
      </c>
      <c r="D1683" s="226" t="s">
        <v>1087</v>
      </c>
      <c r="E1683" s="225" t="s">
        <v>94</v>
      </c>
      <c r="F1683" s="473">
        <f>(2+2.1+2.1)</f>
        <v>6.1999999999999993</v>
      </c>
      <c r="G1683" s="474"/>
      <c r="H1683" s="229">
        <f>ROUND(SUM(H1684:H1686),2)</f>
        <v>14.06</v>
      </c>
      <c r="I1683" s="229">
        <f>ROUND(SUM(I1684:I1686),2)</f>
        <v>7.43</v>
      </c>
      <c r="J1683" s="231">
        <f>(H1683+I1683)</f>
        <v>21.490000000000002</v>
      </c>
      <c r="K1683" s="229">
        <f>F1683*H1683</f>
        <v>87.171999999999997</v>
      </c>
      <c r="L1683" s="230">
        <f>F1683*I1683</f>
        <v>46.065999999999995</v>
      </c>
      <c r="M1683" s="231">
        <f>K1683+L1683</f>
        <v>133.238</v>
      </c>
      <c r="N1683" s="227">
        <f>M1683*$N$7</f>
        <v>36.080850399999996</v>
      </c>
      <c r="O1683" s="227">
        <f>M1683+N1683</f>
        <v>169.3188504</v>
      </c>
    </row>
    <row r="1684" spans="1:15" s="552" customFormat="1" ht="21" customHeight="1" x14ac:dyDescent="0.25">
      <c r="A1684" s="543"/>
      <c r="B1684" s="544" t="s">
        <v>664</v>
      </c>
      <c r="C1684" s="513">
        <v>87369</v>
      </c>
      <c r="D1684" s="545" t="s">
        <v>791</v>
      </c>
      <c r="E1684" s="514" t="s">
        <v>233</v>
      </c>
      <c r="F1684" s="546">
        <v>3.7600000000000001E-2</v>
      </c>
      <c r="G1684" s="547">
        <v>373.9</v>
      </c>
      <c r="H1684" s="548">
        <f t="shared" ref="H1684" si="227">F1684*G1684</f>
        <v>14.05864</v>
      </c>
      <c r="I1684" s="547"/>
      <c r="J1684" s="549"/>
      <c r="K1684" s="548"/>
      <c r="L1684" s="547"/>
      <c r="M1684" s="549"/>
      <c r="N1684" s="550"/>
      <c r="O1684" s="551"/>
    </row>
    <row r="1685" spans="1:15" s="552" customFormat="1" ht="15" customHeight="1" x14ac:dyDescent="0.25">
      <c r="A1685" s="543"/>
      <c r="B1685" s="544" t="s">
        <v>715</v>
      </c>
      <c r="C1685" s="513">
        <v>4750</v>
      </c>
      <c r="D1685" s="545" t="s">
        <v>714</v>
      </c>
      <c r="E1685" s="514" t="s">
        <v>42</v>
      </c>
      <c r="F1685" s="546">
        <v>0.47</v>
      </c>
      <c r="G1685" s="547">
        <v>12.57</v>
      </c>
      <c r="H1685" s="548"/>
      <c r="I1685" s="547">
        <f>F1685*G1685</f>
        <v>5.9078999999999997</v>
      </c>
      <c r="J1685" s="549"/>
      <c r="K1685" s="548"/>
      <c r="L1685" s="547"/>
      <c r="M1685" s="549"/>
      <c r="N1685" s="550"/>
      <c r="O1685" s="551"/>
    </row>
    <row r="1686" spans="1:15" s="552" customFormat="1" ht="15" customHeight="1" x14ac:dyDescent="0.25">
      <c r="A1686" s="543"/>
      <c r="B1686" s="544" t="s">
        <v>658</v>
      </c>
      <c r="C1686" s="513">
        <v>6111</v>
      </c>
      <c r="D1686" s="545" t="s">
        <v>670</v>
      </c>
      <c r="E1686" s="514" t="s">
        <v>42</v>
      </c>
      <c r="F1686" s="546">
        <v>0.17100000000000001</v>
      </c>
      <c r="G1686" s="547">
        <v>8.92</v>
      </c>
      <c r="H1686" s="548"/>
      <c r="I1686" s="547">
        <f t="shared" ref="I1686" si="228">F1686*G1686</f>
        <v>1.52532</v>
      </c>
      <c r="J1686" s="549"/>
      <c r="K1686" s="548"/>
      <c r="L1686" s="547"/>
      <c r="M1686" s="549"/>
      <c r="N1686" s="550"/>
      <c r="O1686" s="551"/>
    </row>
    <row r="1687" spans="1:15" s="23" customFormat="1" ht="14.25" x14ac:dyDescent="0.2">
      <c r="A1687" s="134"/>
      <c r="B1687" s="129"/>
      <c r="C1687" s="29"/>
      <c r="D1687" s="117" t="s">
        <v>83</v>
      </c>
      <c r="E1687" s="30"/>
      <c r="F1687" s="476"/>
      <c r="G1687" s="477"/>
      <c r="H1687" s="478"/>
      <c r="I1687" s="479"/>
      <c r="J1687" s="480"/>
      <c r="K1687" s="478"/>
      <c r="L1687" s="479"/>
      <c r="M1687" s="480"/>
      <c r="N1687" s="92"/>
      <c r="O1687" s="92"/>
    </row>
    <row r="1688" spans="1:15" s="266" customFormat="1" ht="12.75" x14ac:dyDescent="0.2">
      <c r="A1688" s="516"/>
      <c r="B1688" s="517"/>
      <c r="C1688" s="518" t="s">
        <v>964</v>
      </c>
      <c r="D1688" s="519" t="s">
        <v>84</v>
      </c>
      <c r="E1688" s="520"/>
      <c r="F1688" s="519"/>
      <c r="G1688" s="520"/>
      <c r="H1688" s="521"/>
      <c r="I1688" s="522"/>
      <c r="J1688" s="523"/>
      <c r="K1688" s="521"/>
      <c r="L1688" s="522"/>
      <c r="M1688" s="523"/>
      <c r="N1688" s="524"/>
      <c r="O1688" s="525">
        <f>SUM(O1690:O1709)</f>
        <v>1579.7182636800001</v>
      </c>
    </row>
    <row r="1689" spans="1:15" x14ac:dyDescent="0.25">
      <c r="A1689" s="137"/>
      <c r="B1689" s="127"/>
      <c r="C1689" s="9"/>
      <c r="D1689" s="125" t="s">
        <v>83</v>
      </c>
      <c r="E1689" s="4"/>
      <c r="F1689" s="121"/>
      <c r="G1689" s="5"/>
      <c r="H1689" s="114"/>
      <c r="I1689" s="5"/>
      <c r="J1689" s="115"/>
      <c r="K1689" s="114"/>
      <c r="L1689" s="5"/>
      <c r="M1689" s="115"/>
      <c r="N1689" s="95"/>
      <c r="O1689" s="95"/>
    </row>
    <row r="1690" spans="1:15" s="23" customFormat="1" ht="22.5" x14ac:dyDescent="0.2">
      <c r="A1690" s="223" t="s">
        <v>78</v>
      </c>
      <c r="B1690" s="224" t="s">
        <v>741</v>
      </c>
      <c r="C1690" s="225" t="s">
        <v>965</v>
      </c>
      <c r="D1690" s="226" t="s">
        <v>949</v>
      </c>
      <c r="E1690" s="225" t="s">
        <v>94</v>
      </c>
      <c r="F1690" s="515">
        <f>2*(1.9*2.1*3)</f>
        <v>23.939999999999998</v>
      </c>
      <c r="G1690" s="228"/>
      <c r="H1690" s="229">
        <f>ROUND(SUM(H1691:H1697),2)</f>
        <v>12.51</v>
      </c>
      <c r="I1690" s="229">
        <f>ROUND(SUM(I1691:I1697),2)</f>
        <v>5.33</v>
      </c>
      <c r="J1690" s="231">
        <f>(H1690+I1690)</f>
        <v>17.84</v>
      </c>
      <c r="K1690" s="229">
        <f>F1690*H1690</f>
        <v>299.48939999999999</v>
      </c>
      <c r="L1690" s="230">
        <f>F1690*I1690</f>
        <v>127.60019999999999</v>
      </c>
      <c r="M1690" s="231">
        <f>K1690+L1690</f>
        <v>427.08959999999996</v>
      </c>
      <c r="N1690" s="227">
        <f>M1690*$N$7</f>
        <v>115.65586367999998</v>
      </c>
      <c r="O1690" s="227">
        <f>M1690+N1690</f>
        <v>542.74546367999994</v>
      </c>
    </row>
    <row r="1691" spans="1:15" s="552" customFormat="1" ht="15" customHeight="1" x14ac:dyDescent="0.25">
      <c r="A1691" s="543"/>
      <c r="B1691" s="544" t="s">
        <v>715</v>
      </c>
      <c r="C1691" s="513">
        <v>4783</v>
      </c>
      <c r="D1691" s="545" t="s">
        <v>738</v>
      </c>
      <c r="E1691" s="514" t="s">
        <v>42</v>
      </c>
      <c r="F1691" s="546">
        <v>0.312</v>
      </c>
      <c r="G1691" s="547">
        <v>12.57</v>
      </c>
      <c r="H1691" s="548"/>
      <c r="I1691" s="547">
        <f>F1691*G1691</f>
        <v>3.92184</v>
      </c>
      <c r="J1691" s="549"/>
      <c r="K1691" s="548"/>
      <c r="L1691" s="547"/>
      <c r="M1691" s="549"/>
      <c r="N1691" s="550"/>
      <c r="O1691" s="551"/>
    </row>
    <row r="1692" spans="1:15" s="552" customFormat="1" ht="15" customHeight="1" x14ac:dyDescent="0.25">
      <c r="A1692" s="543"/>
      <c r="B1692" s="544" t="s">
        <v>658</v>
      </c>
      <c r="C1692" s="513">
        <v>6111</v>
      </c>
      <c r="D1692" s="545" t="s">
        <v>670</v>
      </c>
      <c r="E1692" s="514" t="s">
        <v>42</v>
      </c>
      <c r="F1692" s="546">
        <v>0.114</v>
      </c>
      <c r="G1692" s="547">
        <v>8.92</v>
      </c>
      <c r="H1692" s="548"/>
      <c r="I1692" s="547">
        <f t="shared" ref="I1692" si="229">F1692*G1692</f>
        <v>1.01688</v>
      </c>
      <c r="J1692" s="549"/>
      <c r="K1692" s="548"/>
      <c r="L1692" s="547"/>
      <c r="M1692" s="549"/>
      <c r="N1692" s="550"/>
      <c r="O1692" s="551"/>
    </row>
    <row r="1693" spans="1:15" s="552" customFormat="1" ht="15" customHeight="1" x14ac:dyDescent="0.25">
      <c r="A1693" s="543"/>
      <c r="B1693" s="544" t="s">
        <v>657</v>
      </c>
      <c r="C1693" s="513">
        <v>3767</v>
      </c>
      <c r="D1693" s="545" t="s">
        <v>735</v>
      </c>
      <c r="E1693" s="514" t="s">
        <v>81</v>
      </c>
      <c r="F1693" s="546">
        <v>0.06</v>
      </c>
      <c r="G1693" s="547">
        <v>0.77</v>
      </c>
      <c r="H1693" s="548">
        <f t="shared" ref="H1693" si="230">F1693*G1693</f>
        <v>4.6199999999999998E-2</v>
      </c>
      <c r="I1693" s="547"/>
      <c r="J1693" s="549"/>
      <c r="K1693" s="548"/>
      <c r="L1693" s="547"/>
      <c r="M1693" s="549"/>
      <c r="N1693" s="550"/>
      <c r="O1693" s="551"/>
    </row>
    <row r="1694" spans="1:15" s="552" customFormat="1" ht="15" customHeight="1" x14ac:dyDescent="0.25">
      <c r="A1694" s="543"/>
      <c r="B1694" s="544" t="s">
        <v>657</v>
      </c>
      <c r="C1694" s="513">
        <v>4051</v>
      </c>
      <c r="D1694" s="545" t="s">
        <v>736</v>
      </c>
      <c r="E1694" s="514" t="s">
        <v>737</v>
      </c>
      <c r="F1694" s="546">
        <v>4.8899999999999999E-2</v>
      </c>
      <c r="G1694" s="547">
        <v>87.8</v>
      </c>
      <c r="H1694" s="548">
        <f>F1694*G1694</f>
        <v>4.2934199999999993</v>
      </c>
      <c r="I1694" s="547"/>
      <c r="J1694" s="549"/>
      <c r="K1694" s="548"/>
      <c r="L1694" s="547"/>
      <c r="M1694" s="549"/>
      <c r="N1694" s="550"/>
      <c r="O1694" s="551"/>
    </row>
    <row r="1695" spans="1:15" s="552" customFormat="1" ht="15" customHeight="1" x14ac:dyDescent="0.25">
      <c r="A1695" s="543"/>
      <c r="B1695" s="544" t="s">
        <v>658</v>
      </c>
      <c r="C1695" s="513">
        <v>5318</v>
      </c>
      <c r="D1695" s="545" t="s">
        <v>742</v>
      </c>
      <c r="E1695" s="514" t="s">
        <v>740</v>
      </c>
      <c r="F1695" s="546">
        <v>0.04</v>
      </c>
      <c r="G1695" s="547">
        <v>9.83</v>
      </c>
      <c r="H1695" s="548"/>
      <c r="I1695" s="547">
        <f t="shared" ref="I1695" si="231">F1695*G1695</f>
        <v>0.39319999999999999</v>
      </c>
      <c r="J1695" s="549"/>
      <c r="K1695" s="548"/>
      <c r="L1695" s="547"/>
      <c r="M1695" s="549"/>
      <c r="N1695" s="550"/>
      <c r="O1695" s="551"/>
    </row>
    <row r="1696" spans="1:15" s="552" customFormat="1" ht="15" customHeight="1" x14ac:dyDescent="0.25">
      <c r="A1696" s="543"/>
      <c r="B1696" s="544" t="s">
        <v>657</v>
      </c>
      <c r="C1696" s="513">
        <v>6086</v>
      </c>
      <c r="D1696" s="545" t="s">
        <v>743</v>
      </c>
      <c r="E1696" s="514" t="s">
        <v>744</v>
      </c>
      <c r="F1696" s="546">
        <v>5.6000000000000001E-2</v>
      </c>
      <c r="G1696" s="547">
        <v>86.69</v>
      </c>
      <c r="H1696" s="548">
        <f t="shared" ref="H1696" si="232">F1696*G1696</f>
        <v>4.8546399999999998</v>
      </c>
      <c r="I1696" s="547"/>
      <c r="J1696" s="549"/>
      <c r="K1696" s="548"/>
      <c r="L1696" s="547"/>
      <c r="M1696" s="549"/>
      <c r="N1696" s="550"/>
      <c r="O1696" s="551"/>
    </row>
    <row r="1697" spans="1:15" s="552" customFormat="1" ht="15" customHeight="1" x14ac:dyDescent="0.25">
      <c r="A1697" s="543"/>
      <c r="B1697" s="544" t="s">
        <v>657</v>
      </c>
      <c r="C1697" s="513">
        <v>7311</v>
      </c>
      <c r="D1697" s="545" t="s">
        <v>745</v>
      </c>
      <c r="E1697" s="514" t="s">
        <v>740</v>
      </c>
      <c r="F1697" s="546">
        <v>0.16</v>
      </c>
      <c r="G1697" s="547">
        <v>20.72</v>
      </c>
      <c r="H1697" s="548">
        <f>F1697*G1697</f>
        <v>3.3151999999999999</v>
      </c>
      <c r="I1697" s="547"/>
      <c r="J1697" s="549"/>
      <c r="K1697" s="548"/>
      <c r="L1697" s="547"/>
      <c r="M1697" s="549"/>
      <c r="N1697" s="550"/>
      <c r="O1697" s="551"/>
    </row>
    <row r="1698" spans="1:15" x14ac:dyDescent="0.25">
      <c r="A1698" s="137"/>
      <c r="B1698" s="127"/>
      <c r="C1698" s="9"/>
      <c r="D1698" s="125" t="s">
        <v>83</v>
      </c>
      <c r="E1698" s="4"/>
      <c r="F1698" s="121"/>
      <c r="G1698" s="5"/>
      <c r="H1698" s="114"/>
      <c r="I1698" s="5"/>
      <c r="J1698" s="115"/>
      <c r="K1698" s="114"/>
      <c r="L1698" s="5"/>
      <c r="M1698" s="115"/>
      <c r="N1698" s="95"/>
      <c r="O1698" s="95"/>
    </row>
    <row r="1699" spans="1:15" s="23" customFormat="1" ht="14.25" x14ac:dyDescent="0.2">
      <c r="A1699" s="223" t="s">
        <v>78</v>
      </c>
      <c r="B1699" s="224">
        <v>88497</v>
      </c>
      <c r="C1699" s="225" t="s">
        <v>966</v>
      </c>
      <c r="D1699" s="232" t="s">
        <v>734</v>
      </c>
      <c r="E1699" s="225" t="s">
        <v>94</v>
      </c>
      <c r="F1699" s="515">
        <v>10</v>
      </c>
      <c r="G1699" s="228"/>
      <c r="H1699" s="229">
        <f>ROUND(SUM(H1700:H1703),2)</f>
        <v>4.34</v>
      </c>
      <c r="I1699" s="229">
        <f>ROUND(SUM(I1700:I1703),2)</f>
        <v>4.9400000000000004</v>
      </c>
      <c r="J1699" s="231">
        <f>(H1699+I1699)</f>
        <v>9.2800000000000011</v>
      </c>
      <c r="K1699" s="229">
        <f>F1699*H1699</f>
        <v>43.4</v>
      </c>
      <c r="L1699" s="230">
        <f>F1699*I1699</f>
        <v>49.400000000000006</v>
      </c>
      <c r="M1699" s="231">
        <f>K1699+L1699</f>
        <v>92.800000000000011</v>
      </c>
      <c r="N1699" s="227">
        <f>M1699*$N$7</f>
        <v>25.130240000000001</v>
      </c>
      <c r="O1699" s="227">
        <f>M1699+N1699</f>
        <v>117.93024000000001</v>
      </c>
    </row>
    <row r="1700" spans="1:15" s="552" customFormat="1" ht="15" customHeight="1" x14ac:dyDescent="0.25">
      <c r="A1700" s="543"/>
      <c r="B1700" s="544" t="s">
        <v>715</v>
      </c>
      <c r="C1700" s="513">
        <v>4783</v>
      </c>
      <c r="D1700" s="545" t="s">
        <v>738</v>
      </c>
      <c r="E1700" s="514" t="s">
        <v>42</v>
      </c>
      <c r="F1700" s="546">
        <v>0.312</v>
      </c>
      <c r="G1700" s="547">
        <v>12.57</v>
      </c>
      <c r="H1700" s="548"/>
      <c r="I1700" s="547">
        <f>F1700*G1700</f>
        <v>3.92184</v>
      </c>
      <c r="J1700" s="549"/>
      <c r="K1700" s="548"/>
      <c r="L1700" s="547"/>
      <c r="M1700" s="549"/>
      <c r="N1700" s="550"/>
      <c r="O1700" s="551"/>
    </row>
    <row r="1701" spans="1:15" s="552" customFormat="1" ht="15" customHeight="1" x14ac:dyDescent="0.25">
      <c r="A1701" s="543"/>
      <c r="B1701" s="544" t="s">
        <v>658</v>
      </c>
      <c r="C1701" s="513">
        <v>6111</v>
      </c>
      <c r="D1701" s="545" t="s">
        <v>670</v>
      </c>
      <c r="E1701" s="514" t="s">
        <v>42</v>
      </c>
      <c r="F1701" s="546">
        <v>0.114</v>
      </c>
      <c r="G1701" s="547">
        <v>8.92</v>
      </c>
      <c r="H1701" s="548"/>
      <c r="I1701" s="547">
        <f t="shared" ref="I1701" si="233">F1701*G1701</f>
        <v>1.01688</v>
      </c>
      <c r="J1701" s="549"/>
      <c r="K1701" s="548"/>
      <c r="L1701" s="547"/>
      <c r="M1701" s="549"/>
      <c r="N1701" s="550"/>
      <c r="O1701" s="551"/>
    </row>
    <row r="1702" spans="1:15" s="552" customFormat="1" ht="15" customHeight="1" x14ac:dyDescent="0.25">
      <c r="A1702" s="543"/>
      <c r="B1702" s="544" t="s">
        <v>657</v>
      </c>
      <c r="C1702" s="513">
        <v>3767</v>
      </c>
      <c r="D1702" s="545" t="s">
        <v>735</v>
      </c>
      <c r="E1702" s="514" t="s">
        <v>81</v>
      </c>
      <c r="F1702" s="546">
        <v>0.06</v>
      </c>
      <c r="G1702" s="547">
        <v>0.77</v>
      </c>
      <c r="H1702" s="548">
        <f t="shared" ref="H1702" si="234">F1702*G1702</f>
        <v>4.6199999999999998E-2</v>
      </c>
      <c r="I1702" s="547"/>
      <c r="J1702" s="549"/>
      <c r="K1702" s="548"/>
      <c r="L1702" s="547"/>
      <c r="M1702" s="549"/>
      <c r="N1702" s="550"/>
      <c r="O1702" s="551"/>
    </row>
    <row r="1703" spans="1:15" s="552" customFormat="1" ht="15" customHeight="1" x14ac:dyDescent="0.25">
      <c r="A1703" s="543"/>
      <c r="B1703" s="544" t="s">
        <v>657</v>
      </c>
      <c r="C1703" s="513">
        <v>4051</v>
      </c>
      <c r="D1703" s="545" t="s">
        <v>736</v>
      </c>
      <c r="E1703" s="514" t="s">
        <v>737</v>
      </c>
      <c r="F1703" s="546">
        <v>4.8899999999999999E-2</v>
      </c>
      <c r="G1703" s="547">
        <v>87.8</v>
      </c>
      <c r="H1703" s="548">
        <f>F1703*G1703</f>
        <v>4.2934199999999993</v>
      </c>
      <c r="I1703" s="547"/>
      <c r="J1703" s="549"/>
      <c r="K1703" s="548"/>
      <c r="L1703" s="547"/>
      <c r="M1703" s="549"/>
      <c r="N1703" s="550"/>
      <c r="O1703" s="551"/>
    </row>
    <row r="1704" spans="1:15" s="23" customFormat="1" ht="14.25" x14ac:dyDescent="0.2">
      <c r="A1704" s="137"/>
      <c r="B1704" s="127"/>
      <c r="C1704" s="9"/>
      <c r="D1704" s="125" t="s">
        <v>83</v>
      </c>
      <c r="E1704" s="4"/>
      <c r="F1704" s="121"/>
      <c r="G1704" s="5"/>
      <c r="H1704" s="114"/>
      <c r="I1704" s="5"/>
      <c r="J1704" s="115"/>
      <c r="K1704" s="114"/>
      <c r="L1704" s="5"/>
      <c r="M1704" s="115"/>
      <c r="N1704" s="95"/>
      <c r="O1704" s="95"/>
    </row>
    <row r="1705" spans="1:15" s="23" customFormat="1" ht="14.25" x14ac:dyDescent="0.2">
      <c r="A1705" s="223" t="s">
        <v>78</v>
      </c>
      <c r="B1705" s="224">
        <v>88489</v>
      </c>
      <c r="C1705" s="225" t="s">
        <v>1003</v>
      </c>
      <c r="D1705" s="226" t="s">
        <v>217</v>
      </c>
      <c r="E1705" s="225" t="s">
        <v>94</v>
      </c>
      <c r="F1705" s="515">
        <v>80</v>
      </c>
      <c r="G1705" s="228"/>
      <c r="H1705" s="229">
        <f>ROUND(SUM(H1706:H1708),2)</f>
        <v>6.07</v>
      </c>
      <c r="I1705" s="229">
        <f>ROUND(SUM(I1706:I1708),2)</f>
        <v>2.97</v>
      </c>
      <c r="J1705" s="231">
        <f>(H1705+I1705)</f>
        <v>9.0400000000000009</v>
      </c>
      <c r="K1705" s="229">
        <f>F1705*H1705</f>
        <v>485.6</v>
      </c>
      <c r="L1705" s="230">
        <f>F1705*I1705</f>
        <v>237.60000000000002</v>
      </c>
      <c r="M1705" s="231">
        <f>K1705+L1705</f>
        <v>723.2</v>
      </c>
      <c r="N1705" s="227">
        <f>M1705*$N$7</f>
        <v>195.84255999999999</v>
      </c>
      <c r="O1705" s="227">
        <f>M1705+N1705</f>
        <v>919.04256000000009</v>
      </c>
    </row>
    <row r="1706" spans="1:15" s="552" customFormat="1" ht="15" customHeight="1" x14ac:dyDescent="0.25">
      <c r="A1706" s="543"/>
      <c r="B1706" s="544" t="s">
        <v>715</v>
      </c>
      <c r="C1706" s="513">
        <v>4783</v>
      </c>
      <c r="D1706" s="545" t="s">
        <v>738</v>
      </c>
      <c r="E1706" s="514" t="s">
        <v>42</v>
      </c>
      <c r="F1706" s="546">
        <v>0.187</v>
      </c>
      <c r="G1706" s="547">
        <v>12.57</v>
      </c>
      <c r="H1706" s="548"/>
      <c r="I1706" s="547">
        <f>F1706*G1706</f>
        <v>2.35059</v>
      </c>
      <c r="J1706" s="549"/>
      <c r="K1706" s="548"/>
      <c r="L1706" s="547"/>
      <c r="M1706" s="549"/>
      <c r="N1706" s="550"/>
      <c r="O1706" s="551"/>
    </row>
    <row r="1707" spans="1:15" s="552" customFormat="1" ht="15" customHeight="1" x14ac:dyDescent="0.25">
      <c r="A1707" s="543"/>
      <c r="B1707" s="544" t="s">
        <v>658</v>
      </c>
      <c r="C1707" s="513">
        <v>6111</v>
      </c>
      <c r="D1707" s="545" t="s">
        <v>670</v>
      </c>
      <c r="E1707" s="514" t="s">
        <v>42</v>
      </c>
      <c r="F1707" s="546">
        <v>6.9000000000000006E-2</v>
      </c>
      <c r="G1707" s="547">
        <v>8.92</v>
      </c>
      <c r="H1707" s="548"/>
      <c r="I1707" s="547">
        <f t="shared" ref="I1707" si="235">F1707*G1707</f>
        <v>0.61548000000000003</v>
      </c>
      <c r="J1707" s="549"/>
      <c r="K1707" s="548"/>
      <c r="L1707" s="547"/>
      <c r="M1707" s="549"/>
      <c r="N1707" s="550"/>
      <c r="O1707" s="551"/>
    </row>
    <row r="1708" spans="1:15" s="552" customFormat="1" ht="15" customHeight="1" x14ac:dyDescent="0.25">
      <c r="A1708" s="543"/>
      <c r="B1708" s="544" t="s">
        <v>657</v>
      </c>
      <c r="C1708" s="513">
        <v>7356</v>
      </c>
      <c r="D1708" s="545" t="s">
        <v>739</v>
      </c>
      <c r="E1708" s="514" t="s">
        <v>740</v>
      </c>
      <c r="F1708" s="546">
        <v>0.33</v>
      </c>
      <c r="G1708" s="547">
        <v>18.38</v>
      </c>
      <c r="H1708" s="548">
        <f t="shared" ref="H1708" si="236">F1708*G1708</f>
        <v>6.0654000000000003</v>
      </c>
      <c r="I1708" s="547"/>
      <c r="J1708" s="549"/>
      <c r="K1708" s="548"/>
      <c r="L1708" s="547"/>
      <c r="M1708" s="549"/>
      <c r="N1708" s="550"/>
      <c r="O1708" s="551"/>
    </row>
    <row r="1709" spans="1:15" x14ac:dyDescent="0.25">
      <c r="A1709" s="137"/>
      <c r="B1709" s="127"/>
      <c r="C1709" s="9"/>
      <c r="D1709" s="125" t="s">
        <v>83</v>
      </c>
      <c r="E1709" s="4"/>
      <c r="F1709" s="121"/>
      <c r="G1709" s="5"/>
      <c r="H1709" s="114"/>
      <c r="I1709" s="5"/>
      <c r="J1709" s="115"/>
      <c r="K1709" s="114"/>
      <c r="L1709" s="5"/>
      <c r="M1709" s="115"/>
      <c r="N1709" s="95"/>
      <c r="O1709" s="95"/>
    </row>
    <row r="1710" spans="1:15" s="23" customFormat="1" ht="31.5" x14ac:dyDescent="0.2">
      <c r="A1710" s="149"/>
      <c r="B1710" s="150"/>
      <c r="C1710" s="511">
        <v>9</v>
      </c>
      <c r="D1710" s="151" t="s">
        <v>956</v>
      </c>
      <c r="E1710" s="152"/>
      <c r="F1710" s="151"/>
      <c r="G1710" s="152"/>
      <c r="H1710" s="153"/>
      <c r="I1710" s="154"/>
      <c r="J1710" s="155"/>
      <c r="K1710" s="153"/>
      <c r="L1710" s="154"/>
      <c r="M1710" s="155"/>
      <c r="N1710" s="156"/>
      <c r="O1710" s="157">
        <f>O1712</f>
        <v>30777.245067239994</v>
      </c>
    </row>
    <row r="1711" spans="1:15" s="23" customFormat="1" ht="14.25" x14ac:dyDescent="0.2">
      <c r="A1711" s="134"/>
      <c r="B1711" s="129"/>
      <c r="C1711" s="29"/>
      <c r="D1711" s="117"/>
      <c r="E1711" s="30"/>
      <c r="F1711" s="476"/>
      <c r="G1711" s="477"/>
      <c r="H1711" s="478"/>
      <c r="I1711" s="479"/>
      <c r="J1711" s="480"/>
      <c r="K1711" s="478"/>
      <c r="L1711" s="479"/>
      <c r="M1711" s="480"/>
      <c r="N1711" s="93"/>
      <c r="O1711" s="93"/>
    </row>
    <row r="1712" spans="1:15" s="266" customFormat="1" ht="12.75" x14ac:dyDescent="0.2">
      <c r="A1712" s="576"/>
      <c r="B1712" s="577"/>
      <c r="C1712" s="511" t="s">
        <v>967</v>
      </c>
      <c r="D1712" s="578" t="s">
        <v>84</v>
      </c>
      <c r="E1712" s="579"/>
      <c r="F1712" s="578"/>
      <c r="G1712" s="579"/>
      <c r="H1712" s="580"/>
      <c r="I1712" s="581"/>
      <c r="J1712" s="582"/>
      <c r="K1712" s="580"/>
      <c r="L1712" s="581"/>
      <c r="M1712" s="582"/>
      <c r="N1712" s="583"/>
      <c r="O1712" s="584">
        <f>SUM(O1715:O1736)</f>
        <v>30777.245067239994</v>
      </c>
    </row>
    <row r="1713" spans="1:15" x14ac:dyDescent="0.25">
      <c r="A1713" s="137"/>
      <c r="B1713" s="127"/>
      <c r="C1713" s="9"/>
      <c r="D1713" s="125" t="s">
        <v>83</v>
      </c>
      <c r="E1713" s="4"/>
      <c r="F1713" s="539"/>
      <c r="G1713" s="540"/>
      <c r="H1713" s="541"/>
      <c r="I1713" s="540"/>
      <c r="J1713" s="542"/>
      <c r="K1713" s="541"/>
      <c r="L1713" s="540"/>
      <c r="M1713" s="542"/>
      <c r="N1713" s="95"/>
      <c r="O1713" s="95"/>
    </row>
    <row r="1714" spans="1:15" x14ac:dyDescent="0.25">
      <c r="A1714" s="137"/>
      <c r="B1714" s="127"/>
      <c r="C1714" s="9"/>
      <c r="D1714" s="585" t="s">
        <v>954</v>
      </c>
      <c r="E1714" s="4"/>
      <c r="F1714" s="539"/>
      <c r="G1714" s="540"/>
      <c r="H1714" s="541"/>
      <c r="I1714" s="540"/>
      <c r="J1714" s="542"/>
      <c r="K1714" s="541"/>
      <c r="L1714" s="540"/>
      <c r="M1714" s="542"/>
      <c r="N1714" s="95"/>
      <c r="O1714" s="95"/>
    </row>
    <row r="1715" spans="1:15" s="23" customFormat="1" ht="14.25" x14ac:dyDescent="0.2">
      <c r="A1715" s="134"/>
      <c r="B1715" s="129"/>
      <c r="C1715" s="29"/>
      <c r="D1715" s="117" t="s">
        <v>83</v>
      </c>
      <c r="E1715" s="30"/>
      <c r="F1715" s="476"/>
      <c r="G1715" s="477"/>
      <c r="H1715" s="478"/>
      <c r="I1715" s="479"/>
      <c r="J1715" s="480"/>
      <c r="K1715" s="478"/>
      <c r="L1715" s="479"/>
      <c r="M1715" s="480"/>
      <c r="N1715" s="92"/>
      <c r="O1715" s="92"/>
    </row>
    <row r="1716" spans="1:15" s="23" customFormat="1" ht="14.25" x14ac:dyDescent="0.2">
      <c r="A1716" s="223" t="s">
        <v>78</v>
      </c>
      <c r="B1716" s="224">
        <v>88489</v>
      </c>
      <c r="C1716" s="225" t="s">
        <v>1003</v>
      </c>
      <c r="D1716" s="226" t="s">
        <v>217</v>
      </c>
      <c r="E1716" s="225" t="s">
        <v>94</v>
      </c>
      <c r="F1716" s="515">
        <f>'MEMÓRIA DE CÁLCULO'!F208</f>
        <v>1308.7399999999996</v>
      </c>
      <c r="G1716" s="228"/>
      <c r="H1716" s="229">
        <f>ROUND(SUM(H1717:H1719),2)</f>
        <v>6.07</v>
      </c>
      <c r="I1716" s="229">
        <f>ROUND(SUM(I1717:I1719),2)</f>
        <v>2.97</v>
      </c>
      <c r="J1716" s="231">
        <f>(H1716+I1716)</f>
        <v>9.0400000000000009</v>
      </c>
      <c r="K1716" s="229">
        <f>F1716*H1716</f>
        <v>7944.0517999999975</v>
      </c>
      <c r="L1716" s="230">
        <f>F1716*I1716</f>
        <v>3886.9577999999988</v>
      </c>
      <c r="M1716" s="231">
        <f>K1716+L1716</f>
        <v>11831.009599999996</v>
      </c>
      <c r="N1716" s="227">
        <f>M1716*$N$7</f>
        <v>3203.8373996799987</v>
      </c>
      <c r="O1716" s="227">
        <f>M1716+N1716</f>
        <v>15034.846999679994</v>
      </c>
    </row>
    <row r="1717" spans="1:15" s="552" customFormat="1" ht="15" customHeight="1" x14ac:dyDescent="0.25">
      <c r="A1717" s="543"/>
      <c r="B1717" s="544" t="s">
        <v>715</v>
      </c>
      <c r="C1717" s="513">
        <v>4783</v>
      </c>
      <c r="D1717" s="545" t="s">
        <v>738</v>
      </c>
      <c r="E1717" s="514" t="s">
        <v>42</v>
      </c>
      <c r="F1717" s="546">
        <v>0.187</v>
      </c>
      <c r="G1717" s="547">
        <v>12.57</v>
      </c>
      <c r="H1717" s="548"/>
      <c r="I1717" s="547">
        <f>F1717*G1717</f>
        <v>2.35059</v>
      </c>
      <c r="J1717" s="549"/>
      <c r="K1717" s="548"/>
      <c r="L1717" s="547"/>
      <c r="M1717" s="549"/>
      <c r="N1717" s="550"/>
      <c r="O1717" s="551"/>
    </row>
    <row r="1718" spans="1:15" s="552" customFormat="1" ht="15" customHeight="1" x14ac:dyDescent="0.25">
      <c r="A1718" s="543"/>
      <c r="B1718" s="544" t="s">
        <v>658</v>
      </c>
      <c r="C1718" s="513">
        <v>6111</v>
      </c>
      <c r="D1718" s="545" t="s">
        <v>670</v>
      </c>
      <c r="E1718" s="514" t="s">
        <v>42</v>
      </c>
      <c r="F1718" s="546">
        <v>6.9000000000000006E-2</v>
      </c>
      <c r="G1718" s="547">
        <v>8.92</v>
      </c>
      <c r="H1718" s="548"/>
      <c r="I1718" s="547">
        <f t="shared" ref="I1718" si="237">F1718*G1718</f>
        <v>0.61548000000000003</v>
      </c>
      <c r="J1718" s="549"/>
      <c r="K1718" s="548"/>
      <c r="L1718" s="547"/>
      <c r="M1718" s="549"/>
      <c r="N1718" s="550"/>
      <c r="O1718" s="551"/>
    </row>
    <row r="1719" spans="1:15" s="552" customFormat="1" ht="15" customHeight="1" x14ac:dyDescent="0.25">
      <c r="A1719" s="543"/>
      <c r="B1719" s="544" t="s">
        <v>657</v>
      </c>
      <c r="C1719" s="513">
        <v>7356</v>
      </c>
      <c r="D1719" s="545" t="s">
        <v>739</v>
      </c>
      <c r="E1719" s="514" t="s">
        <v>740</v>
      </c>
      <c r="F1719" s="546">
        <v>0.33</v>
      </c>
      <c r="G1719" s="547">
        <v>18.38</v>
      </c>
      <c r="H1719" s="548">
        <f t="shared" ref="H1719" si="238">F1719*G1719</f>
        <v>6.0654000000000003</v>
      </c>
      <c r="I1719" s="547"/>
      <c r="J1719" s="549"/>
      <c r="K1719" s="548"/>
      <c r="L1719" s="547"/>
      <c r="M1719" s="549"/>
      <c r="N1719" s="550"/>
      <c r="O1719" s="551"/>
    </row>
    <row r="1720" spans="1:15" x14ac:dyDescent="0.25">
      <c r="A1720" s="137"/>
      <c r="B1720" s="127"/>
      <c r="C1720" s="9"/>
      <c r="D1720" s="125" t="s">
        <v>83</v>
      </c>
      <c r="E1720" s="4"/>
      <c r="F1720" s="539"/>
      <c r="G1720" s="540"/>
      <c r="H1720" s="541"/>
      <c r="I1720" s="540"/>
      <c r="J1720" s="542"/>
      <c r="K1720" s="541"/>
      <c r="L1720" s="540"/>
      <c r="M1720" s="542"/>
      <c r="N1720" s="95"/>
      <c r="O1720" s="95"/>
    </row>
    <row r="1721" spans="1:15" s="23" customFormat="1" ht="14.25" x14ac:dyDescent="0.2">
      <c r="A1721" s="223" t="s">
        <v>78</v>
      </c>
      <c r="B1721" s="224">
        <v>88488</v>
      </c>
      <c r="C1721" s="225" t="s">
        <v>1003</v>
      </c>
      <c r="D1721" s="226" t="s">
        <v>218</v>
      </c>
      <c r="E1721" s="225" t="s">
        <v>94</v>
      </c>
      <c r="F1721" s="515">
        <f>'MEMÓRIA DE CÁLCULO'!G208</f>
        <v>346.7299999999999</v>
      </c>
      <c r="G1721" s="228"/>
      <c r="H1721" s="229">
        <f>ROUND(SUM(H1722:H1724),2)</f>
        <v>6.07</v>
      </c>
      <c r="I1721" s="229">
        <f>ROUND(SUM(I1722:I1724),2)</f>
        <v>3.86</v>
      </c>
      <c r="J1721" s="231">
        <f>(H1721+I1721)</f>
        <v>9.93</v>
      </c>
      <c r="K1721" s="229">
        <f>F1721*H1721</f>
        <v>2104.6510999999996</v>
      </c>
      <c r="L1721" s="230">
        <f>F1721*I1721</f>
        <v>1338.3777999999995</v>
      </c>
      <c r="M1721" s="231">
        <f>K1721+L1721</f>
        <v>3443.0288999999993</v>
      </c>
      <c r="N1721" s="227">
        <f>M1721*$N$7</f>
        <v>932.37222611999982</v>
      </c>
      <c r="O1721" s="227">
        <f>M1721+N1721</f>
        <v>4375.4011261199994</v>
      </c>
    </row>
    <row r="1722" spans="1:15" s="552" customFormat="1" ht="15" customHeight="1" x14ac:dyDescent="0.25">
      <c r="A1722" s="543"/>
      <c r="B1722" s="544" t="s">
        <v>715</v>
      </c>
      <c r="C1722" s="513">
        <v>4783</v>
      </c>
      <c r="D1722" s="545" t="s">
        <v>738</v>
      </c>
      <c r="E1722" s="514" t="s">
        <v>42</v>
      </c>
      <c r="F1722" s="546">
        <v>0.24399999999999999</v>
      </c>
      <c r="G1722" s="547">
        <v>12.57</v>
      </c>
      <c r="H1722" s="548"/>
      <c r="I1722" s="547">
        <f>F1722*G1722</f>
        <v>3.0670799999999998</v>
      </c>
      <c r="J1722" s="549"/>
      <c r="K1722" s="548"/>
      <c r="L1722" s="547"/>
      <c r="M1722" s="549"/>
      <c r="N1722" s="550"/>
      <c r="O1722" s="551"/>
    </row>
    <row r="1723" spans="1:15" s="552" customFormat="1" ht="15" customHeight="1" x14ac:dyDescent="0.25">
      <c r="A1723" s="543"/>
      <c r="B1723" s="544" t="s">
        <v>658</v>
      </c>
      <c r="C1723" s="513">
        <v>6111</v>
      </c>
      <c r="D1723" s="545" t="s">
        <v>670</v>
      </c>
      <c r="E1723" s="514" t="s">
        <v>42</v>
      </c>
      <c r="F1723" s="546">
        <v>8.8999999999999996E-2</v>
      </c>
      <c r="G1723" s="547">
        <v>8.92</v>
      </c>
      <c r="H1723" s="548"/>
      <c r="I1723" s="547">
        <f t="shared" ref="I1723" si="239">F1723*G1723</f>
        <v>0.79387999999999992</v>
      </c>
      <c r="J1723" s="549"/>
      <c r="K1723" s="548"/>
      <c r="L1723" s="547"/>
      <c r="M1723" s="549"/>
      <c r="N1723" s="550"/>
      <c r="O1723" s="551"/>
    </row>
    <row r="1724" spans="1:15" s="552" customFormat="1" ht="15" customHeight="1" x14ac:dyDescent="0.25">
      <c r="A1724" s="543"/>
      <c r="B1724" s="544" t="s">
        <v>657</v>
      </c>
      <c r="C1724" s="513">
        <v>7356</v>
      </c>
      <c r="D1724" s="545" t="s">
        <v>739</v>
      </c>
      <c r="E1724" s="514" t="s">
        <v>740</v>
      </c>
      <c r="F1724" s="546">
        <v>0.33</v>
      </c>
      <c r="G1724" s="547">
        <v>18.38</v>
      </c>
      <c r="H1724" s="548">
        <f t="shared" ref="H1724" si="240">F1724*G1724</f>
        <v>6.0654000000000003</v>
      </c>
      <c r="I1724" s="547"/>
      <c r="J1724" s="549"/>
      <c r="K1724" s="548"/>
      <c r="L1724" s="547"/>
      <c r="M1724" s="549"/>
      <c r="N1724" s="550"/>
      <c r="O1724" s="551"/>
    </row>
    <row r="1725" spans="1:15" x14ac:dyDescent="0.25">
      <c r="A1725" s="137"/>
      <c r="B1725" s="127"/>
      <c r="C1725" s="9"/>
      <c r="D1725" s="125" t="s">
        <v>83</v>
      </c>
      <c r="E1725" s="4"/>
      <c r="F1725" s="539"/>
      <c r="G1725" s="540"/>
      <c r="H1725" s="541"/>
      <c r="I1725" s="540"/>
      <c r="J1725" s="542"/>
      <c r="K1725" s="541"/>
      <c r="L1725" s="540"/>
      <c r="M1725" s="542"/>
      <c r="N1725" s="95"/>
      <c r="O1725" s="95"/>
    </row>
    <row r="1726" spans="1:15" s="23" customFormat="1" ht="22.5" x14ac:dyDescent="0.2">
      <c r="A1726" s="223"/>
      <c r="B1726" s="224" t="s">
        <v>222</v>
      </c>
      <c r="C1726" s="225" t="s">
        <v>1005</v>
      </c>
      <c r="D1726" s="232" t="s">
        <v>1004</v>
      </c>
      <c r="E1726" s="225" t="s">
        <v>42</v>
      </c>
      <c r="F1726" s="515">
        <v>20</v>
      </c>
      <c r="G1726" s="228"/>
      <c r="H1726" s="229">
        <f>ROUND(SUM(H1727:H1729),2)</f>
        <v>0</v>
      </c>
      <c r="I1726" s="229">
        <f>ROUND(SUM(I1727:I1729),2)</f>
        <v>21.49</v>
      </c>
      <c r="J1726" s="231">
        <f>(H1726+I1726)</f>
        <v>21.49</v>
      </c>
      <c r="K1726" s="229">
        <f>F1726*H1726</f>
        <v>0</v>
      </c>
      <c r="L1726" s="230">
        <f>F1726*I1726</f>
        <v>429.79999999999995</v>
      </c>
      <c r="M1726" s="231">
        <f>K1726+L1726</f>
        <v>429.79999999999995</v>
      </c>
      <c r="N1726" s="227">
        <f>M1726*$N$7</f>
        <v>116.38983999999998</v>
      </c>
      <c r="O1726" s="227">
        <f>M1726+N1726</f>
        <v>546.18983999999989</v>
      </c>
    </row>
    <row r="1727" spans="1:15" s="552" customFormat="1" ht="15" customHeight="1" x14ac:dyDescent="0.25">
      <c r="A1727" s="543"/>
      <c r="B1727" s="544" t="s">
        <v>715</v>
      </c>
      <c r="C1727" s="513">
        <v>4783</v>
      </c>
      <c r="D1727" s="545" t="s">
        <v>738</v>
      </c>
      <c r="E1727" s="514" t="s">
        <v>42</v>
      </c>
      <c r="F1727" s="546">
        <v>1</v>
      </c>
      <c r="G1727" s="547">
        <v>12.57</v>
      </c>
      <c r="H1727" s="548"/>
      <c r="I1727" s="547">
        <f>F1727*G1727</f>
        <v>12.57</v>
      </c>
      <c r="J1727" s="549"/>
      <c r="K1727" s="548"/>
      <c r="L1727" s="547"/>
      <c r="M1727" s="549"/>
      <c r="N1727" s="550"/>
      <c r="O1727" s="551"/>
    </row>
    <row r="1728" spans="1:15" s="552" customFormat="1" ht="15" customHeight="1" x14ac:dyDescent="0.25">
      <c r="A1728" s="543"/>
      <c r="B1728" s="544" t="s">
        <v>658</v>
      </c>
      <c r="C1728" s="513">
        <v>6111</v>
      </c>
      <c r="D1728" s="545" t="s">
        <v>670</v>
      </c>
      <c r="E1728" s="514" t="s">
        <v>42</v>
      </c>
      <c r="F1728" s="546">
        <v>1</v>
      </c>
      <c r="G1728" s="547">
        <v>8.92</v>
      </c>
      <c r="H1728" s="548"/>
      <c r="I1728" s="547">
        <f t="shared" ref="I1728" si="241">F1728*G1728</f>
        <v>8.92</v>
      </c>
      <c r="J1728" s="549"/>
      <c r="K1728" s="548"/>
      <c r="L1728" s="547"/>
      <c r="M1728" s="549"/>
      <c r="N1728" s="550"/>
      <c r="O1728" s="551"/>
    </row>
    <row r="1729" spans="1:15" x14ac:dyDescent="0.25">
      <c r="A1729" s="137"/>
      <c r="B1729" s="127"/>
      <c r="C1729" s="9"/>
      <c r="D1729" s="125" t="s">
        <v>83</v>
      </c>
      <c r="E1729" s="4"/>
      <c r="F1729" s="539"/>
      <c r="G1729" s="540"/>
      <c r="H1729" s="541"/>
      <c r="I1729" s="540"/>
      <c r="J1729" s="542"/>
      <c r="K1729" s="541"/>
      <c r="L1729" s="540"/>
      <c r="M1729" s="542"/>
      <c r="N1729" s="95"/>
      <c r="O1729" s="95"/>
    </row>
    <row r="1730" spans="1:15" x14ac:dyDescent="0.25">
      <c r="A1730" s="137"/>
      <c r="B1730" s="127"/>
      <c r="C1730" s="9"/>
      <c r="D1730" s="585" t="s">
        <v>955</v>
      </c>
      <c r="E1730" s="4"/>
      <c r="F1730" s="539"/>
      <c r="G1730" s="540"/>
      <c r="H1730" s="541"/>
      <c r="I1730" s="540"/>
      <c r="J1730" s="542"/>
      <c r="K1730" s="541"/>
      <c r="L1730" s="540"/>
      <c r="M1730" s="542"/>
      <c r="N1730" s="95"/>
      <c r="O1730" s="95"/>
    </row>
    <row r="1731" spans="1:15" s="23" customFormat="1" ht="14.25" x14ac:dyDescent="0.2">
      <c r="A1731" s="134"/>
      <c r="B1731" s="129"/>
      <c r="C1731" s="29"/>
      <c r="D1731" s="117" t="s">
        <v>83</v>
      </c>
      <c r="E1731" s="30"/>
      <c r="F1731" s="476"/>
      <c r="G1731" s="477"/>
      <c r="H1731" s="478"/>
      <c r="I1731" s="479"/>
      <c r="J1731" s="480"/>
      <c r="K1731" s="478"/>
      <c r="L1731" s="479"/>
      <c r="M1731" s="480"/>
      <c r="N1731" s="92"/>
      <c r="O1731" s="92"/>
    </row>
    <row r="1732" spans="1:15" s="23" customFormat="1" ht="14.25" x14ac:dyDescent="0.2">
      <c r="A1732" s="223" t="s">
        <v>78</v>
      </c>
      <c r="B1732" s="224">
        <v>88489</v>
      </c>
      <c r="C1732" s="225" t="s">
        <v>1006</v>
      </c>
      <c r="D1732" s="226" t="s">
        <v>217</v>
      </c>
      <c r="E1732" s="225" t="s">
        <v>94</v>
      </c>
      <c r="F1732" s="515">
        <f>'MEMÓRIA DE CÁLCULO'!G189</f>
        <v>941.91999999999985</v>
      </c>
      <c r="G1732" s="228"/>
      <c r="H1732" s="229">
        <f>ROUND(SUM(H1733:H1735),2)</f>
        <v>6.07</v>
      </c>
      <c r="I1732" s="229">
        <f>ROUND(SUM(I1733:I1735),2)</f>
        <v>2.97</v>
      </c>
      <c r="J1732" s="231">
        <f>(H1732+I1732)</f>
        <v>9.0400000000000009</v>
      </c>
      <c r="K1732" s="229">
        <f>F1732*H1732</f>
        <v>5717.4543999999996</v>
      </c>
      <c r="L1732" s="230">
        <f>F1732*I1732</f>
        <v>2797.5023999999999</v>
      </c>
      <c r="M1732" s="231">
        <f>K1732+L1732</f>
        <v>8514.9567999999999</v>
      </c>
      <c r="N1732" s="227">
        <f>M1732*$N$7</f>
        <v>2305.8503014399998</v>
      </c>
      <c r="O1732" s="227">
        <f>M1732+N1732</f>
        <v>10820.807101439999</v>
      </c>
    </row>
    <row r="1733" spans="1:15" s="552" customFormat="1" ht="15" customHeight="1" x14ac:dyDescent="0.25">
      <c r="A1733" s="543"/>
      <c r="B1733" s="544" t="s">
        <v>715</v>
      </c>
      <c r="C1733" s="513">
        <v>4783</v>
      </c>
      <c r="D1733" s="545" t="s">
        <v>738</v>
      </c>
      <c r="E1733" s="514" t="s">
        <v>42</v>
      </c>
      <c r="F1733" s="546">
        <v>0.187</v>
      </c>
      <c r="G1733" s="547">
        <v>12.57</v>
      </c>
      <c r="H1733" s="548"/>
      <c r="I1733" s="547">
        <f>F1733*G1733</f>
        <v>2.35059</v>
      </c>
      <c r="J1733" s="549"/>
      <c r="K1733" s="548"/>
      <c r="L1733" s="547"/>
      <c r="M1733" s="549"/>
      <c r="N1733" s="550"/>
      <c r="O1733" s="551"/>
    </row>
    <row r="1734" spans="1:15" s="552" customFormat="1" ht="15" customHeight="1" x14ac:dyDescent="0.25">
      <c r="A1734" s="543"/>
      <c r="B1734" s="544" t="s">
        <v>658</v>
      </c>
      <c r="C1734" s="513">
        <v>6111</v>
      </c>
      <c r="D1734" s="545" t="s">
        <v>670</v>
      </c>
      <c r="E1734" s="514" t="s">
        <v>42</v>
      </c>
      <c r="F1734" s="546">
        <v>6.9000000000000006E-2</v>
      </c>
      <c r="G1734" s="547">
        <v>8.92</v>
      </c>
      <c r="H1734" s="548"/>
      <c r="I1734" s="547">
        <f t="shared" ref="I1734" si="242">F1734*G1734</f>
        <v>0.61548000000000003</v>
      </c>
      <c r="J1734" s="549"/>
      <c r="K1734" s="548"/>
      <c r="L1734" s="547"/>
      <c r="M1734" s="549"/>
      <c r="N1734" s="550"/>
      <c r="O1734" s="551"/>
    </row>
    <row r="1735" spans="1:15" s="552" customFormat="1" ht="15" customHeight="1" x14ac:dyDescent="0.25">
      <c r="A1735" s="543"/>
      <c r="B1735" s="544" t="s">
        <v>657</v>
      </c>
      <c r="C1735" s="513">
        <v>7356</v>
      </c>
      <c r="D1735" s="545" t="s">
        <v>739</v>
      </c>
      <c r="E1735" s="514" t="s">
        <v>740</v>
      </c>
      <c r="F1735" s="546">
        <v>0.33</v>
      </c>
      <c r="G1735" s="547">
        <v>18.38</v>
      </c>
      <c r="H1735" s="548">
        <f t="shared" ref="H1735" si="243">F1735*G1735</f>
        <v>6.0654000000000003</v>
      </c>
      <c r="I1735" s="547"/>
      <c r="J1735" s="549"/>
      <c r="K1735" s="548"/>
      <c r="L1735" s="547"/>
      <c r="M1735" s="549"/>
      <c r="N1735" s="550"/>
      <c r="O1735" s="551"/>
    </row>
    <row r="1736" spans="1:15" x14ac:dyDescent="0.25">
      <c r="A1736" s="137"/>
      <c r="B1736" s="127"/>
      <c r="C1736" s="9"/>
      <c r="D1736" s="125" t="s">
        <v>83</v>
      </c>
      <c r="E1736" s="4"/>
      <c r="F1736" s="539"/>
      <c r="G1736" s="540"/>
      <c r="H1736" s="541"/>
      <c r="I1736" s="540"/>
      <c r="J1736" s="542"/>
      <c r="K1736" s="541"/>
      <c r="L1736" s="540"/>
      <c r="M1736" s="542"/>
      <c r="N1736" s="95"/>
      <c r="O1736" s="95"/>
    </row>
    <row r="1737" spans="1:15" s="23" customFormat="1" ht="31.5" x14ac:dyDescent="0.2">
      <c r="A1737" s="149"/>
      <c r="B1737" s="150"/>
      <c r="C1737" s="511">
        <v>10</v>
      </c>
      <c r="D1737" s="151" t="s">
        <v>1009</v>
      </c>
      <c r="E1737" s="152"/>
      <c r="F1737" s="151"/>
      <c r="G1737" s="152"/>
      <c r="H1737" s="153"/>
      <c r="I1737" s="154"/>
      <c r="J1737" s="155"/>
      <c r="K1737" s="153"/>
      <c r="L1737" s="154"/>
      <c r="M1737" s="155"/>
      <c r="N1737" s="156"/>
      <c r="O1737" s="157">
        <f>SUM(O1739:O1754)</f>
        <v>9274.2074107200006</v>
      </c>
    </row>
    <row r="1738" spans="1:15" s="23" customFormat="1" ht="14.25" x14ac:dyDescent="0.2">
      <c r="A1738" s="134"/>
      <c r="B1738" s="129"/>
      <c r="C1738" s="29"/>
      <c r="D1738" s="117"/>
      <c r="E1738" s="30"/>
      <c r="F1738" s="476"/>
      <c r="G1738" s="477"/>
      <c r="H1738" s="478"/>
      <c r="I1738" s="479"/>
      <c r="J1738" s="480"/>
      <c r="K1738" s="478"/>
      <c r="L1738" s="479"/>
      <c r="M1738" s="480"/>
      <c r="N1738" s="93"/>
      <c r="O1738" s="93"/>
    </row>
    <row r="1739" spans="1:15" s="23" customFormat="1" ht="33.75" x14ac:dyDescent="0.2">
      <c r="A1739" s="223" t="s">
        <v>1305</v>
      </c>
      <c r="B1739" s="224">
        <v>87272</v>
      </c>
      <c r="C1739" s="225" t="s">
        <v>1029</v>
      </c>
      <c r="D1739" s="226" t="s">
        <v>1136</v>
      </c>
      <c r="E1739" s="225" t="s">
        <v>94</v>
      </c>
      <c r="F1739" s="515">
        <f>'MEMÓRIA DE CÁLCULO'!G311</f>
        <v>101.5</v>
      </c>
      <c r="G1739" s="228"/>
      <c r="H1739" s="229">
        <f>ROUND(SUM(H1740:H1744),2)</f>
        <v>25.09</v>
      </c>
      <c r="I1739" s="229">
        <f>ROUND(SUM(I1740:I1744),2)</f>
        <v>15.37</v>
      </c>
      <c r="J1739" s="231">
        <f>(H1739+I1739)</f>
        <v>40.46</v>
      </c>
      <c r="K1739" s="229">
        <f>F1739*H1739</f>
        <v>2546.6349999999998</v>
      </c>
      <c r="L1739" s="230">
        <f>F1739*I1739</f>
        <v>1560.0549999999998</v>
      </c>
      <c r="M1739" s="231">
        <f>K1739+L1739</f>
        <v>4106.6899999999996</v>
      </c>
      <c r="N1739" s="227">
        <f>M1739*$N$7</f>
        <v>1112.0916519999998</v>
      </c>
      <c r="O1739" s="227">
        <f>M1739+N1739</f>
        <v>5218.7816519999997</v>
      </c>
    </row>
    <row r="1740" spans="1:15" s="552" customFormat="1" ht="15" customHeight="1" x14ac:dyDescent="0.25">
      <c r="A1740" s="543"/>
      <c r="B1740" s="544" t="s">
        <v>715</v>
      </c>
      <c r="C1740" s="513">
        <v>4760</v>
      </c>
      <c r="D1740" s="545" t="s">
        <v>727</v>
      </c>
      <c r="E1740" s="514" t="s">
        <v>42</v>
      </c>
      <c r="F1740" s="546">
        <v>0.97</v>
      </c>
      <c r="G1740" s="547">
        <v>11.43</v>
      </c>
      <c r="H1740" s="548"/>
      <c r="I1740" s="547">
        <f>F1740*G1740</f>
        <v>11.0871</v>
      </c>
      <c r="J1740" s="549"/>
      <c r="K1740" s="548"/>
      <c r="L1740" s="547"/>
      <c r="M1740" s="549"/>
      <c r="N1740" s="550"/>
      <c r="O1740" s="551"/>
    </row>
    <row r="1741" spans="1:15" s="552" customFormat="1" ht="15" customHeight="1" x14ac:dyDescent="0.25">
      <c r="A1741" s="543"/>
      <c r="B1741" s="544" t="s">
        <v>658</v>
      </c>
      <c r="C1741" s="513">
        <v>6111</v>
      </c>
      <c r="D1741" s="545" t="s">
        <v>670</v>
      </c>
      <c r="E1741" s="514" t="s">
        <v>42</v>
      </c>
      <c r="F1741" s="546">
        <v>0.48</v>
      </c>
      <c r="G1741" s="547">
        <v>8.92</v>
      </c>
      <c r="H1741" s="548"/>
      <c r="I1741" s="547">
        <f t="shared" ref="I1741" si="244">F1741*G1741</f>
        <v>4.2816000000000001</v>
      </c>
      <c r="J1741" s="549"/>
      <c r="K1741" s="548"/>
      <c r="L1741" s="547"/>
      <c r="M1741" s="549"/>
      <c r="N1741" s="550"/>
      <c r="O1741" s="551"/>
    </row>
    <row r="1742" spans="1:15" s="552" customFormat="1" ht="21" customHeight="1" x14ac:dyDescent="0.25">
      <c r="A1742" s="543"/>
      <c r="B1742" s="544" t="s">
        <v>657</v>
      </c>
      <c r="C1742" s="513">
        <v>536</v>
      </c>
      <c r="D1742" s="545" t="str">
        <f>D1739</f>
        <v>Revestimento em azulejo 33 x 45 cm - referência técnica: ELIANE ou similar, linha Forma cor branco brilhante - fixado com argamassa colante e rejuntamento com rejunte flexível branco antifungo - APLICADO NA PAREDE MOLHADA (PIA)</v>
      </c>
      <c r="E1742" s="514" t="s">
        <v>27</v>
      </c>
      <c r="F1742" s="546">
        <v>1.08</v>
      </c>
      <c r="G1742" s="547">
        <v>20.3</v>
      </c>
      <c r="H1742" s="548">
        <f t="shared" ref="H1742" si="245">F1742*G1742</f>
        <v>21.924000000000003</v>
      </c>
      <c r="I1742" s="547"/>
      <c r="J1742" s="549"/>
      <c r="K1742" s="548"/>
      <c r="L1742" s="547"/>
      <c r="M1742" s="549"/>
      <c r="N1742" s="550"/>
      <c r="O1742" s="551"/>
    </row>
    <row r="1743" spans="1:15" s="552" customFormat="1" ht="15" customHeight="1" x14ac:dyDescent="0.25">
      <c r="A1743" s="543"/>
      <c r="B1743" s="544" t="s">
        <v>658</v>
      </c>
      <c r="C1743" s="513">
        <v>1381</v>
      </c>
      <c r="D1743" s="545" t="s">
        <v>774</v>
      </c>
      <c r="E1743" s="514" t="s">
        <v>41</v>
      </c>
      <c r="F1743" s="546">
        <v>6.14</v>
      </c>
      <c r="G1743" s="547">
        <v>0.42</v>
      </c>
      <c r="H1743" s="548">
        <f>F1743*G1743</f>
        <v>2.5787999999999998</v>
      </c>
      <c r="I1743" s="547"/>
      <c r="J1743" s="549"/>
      <c r="K1743" s="548"/>
      <c r="L1743" s="547"/>
      <c r="M1743" s="549"/>
      <c r="N1743" s="550"/>
      <c r="O1743" s="551"/>
    </row>
    <row r="1744" spans="1:15" s="552" customFormat="1" ht="15" customHeight="1" x14ac:dyDescent="0.25">
      <c r="A1744" s="543"/>
      <c r="B1744" s="544" t="s">
        <v>658</v>
      </c>
      <c r="C1744" s="513">
        <v>34357</v>
      </c>
      <c r="D1744" s="545" t="s">
        <v>728</v>
      </c>
      <c r="E1744" s="514" t="s">
        <v>97</v>
      </c>
      <c r="F1744" s="546">
        <v>0.22</v>
      </c>
      <c r="G1744" s="547">
        <v>2.69</v>
      </c>
      <c r="H1744" s="548">
        <f>F1744*G1744</f>
        <v>0.59179999999999999</v>
      </c>
      <c r="I1744" s="547"/>
      <c r="J1744" s="549"/>
      <c r="K1744" s="548"/>
      <c r="L1744" s="547"/>
      <c r="M1744" s="549"/>
      <c r="N1744" s="550"/>
      <c r="O1744" s="551"/>
    </row>
    <row r="1745" spans="1:15" s="25" customFormat="1" x14ac:dyDescent="0.2">
      <c r="A1745" s="134"/>
      <c r="B1745" s="129"/>
      <c r="C1745" s="29"/>
      <c r="D1745" s="117" t="s">
        <v>83</v>
      </c>
      <c r="E1745" s="30"/>
      <c r="F1745" s="476"/>
      <c r="G1745" s="477"/>
      <c r="H1745" s="478"/>
      <c r="I1745" s="479"/>
      <c r="J1745" s="480"/>
      <c r="K1745" s="478"/>
      <c r="L1745" s="479"/>
      <c r="M1745" s="480"/>
      <c r="N1745" s="92"/>
      <c r="O1745" s="92"/>
    </row>
    <row r="1746" spans="1:15" s="23" customFormat="1" ht="22.5" x14ac:dyDescent="0.2">
      <c r="A1746" s="223" t="s">
        <v>78</v>
      </c>
      <c r="B1746" s="224">
        <v>88489</v>
      </c>
      <c r="C1746" s="225" t="s">
        <v>1030</v>
      </c>
      <c r="D1746" s="226" t="s">
        <v>1137</v>
      </c>
      <c r="E1746" s="225" t="s">
        <v>94</v>
      </c>
      <c r="F1746" s="515">
        <f>'MEMÓRIA DE CÁLCULO'!F311</f>
        <v>295.96000000000004</v>
      </c>
      <c r="G1746" s="228"/>
      <c r="H1746" s="229">
        <f>ROUND(SUM(H1747:H1749),2)</f>
        <v>6.07</v>
      </c>
      <c r="I1746" s="229">
        <f>ROUND(SUM(I1747:I1749),2)</f>
        <v>2.97</v>
      </c>
      <c r="J1746" s="231">
        <f>(H1746+I1746)</f>
        <v>9.0400000000000009</v>
      </c>
      <c r="K1746" s="229">
        <f>F1746*H1746</f>
        <v>1796.4772000000003</v>
      </c>
      <c r="L1746" s="230">
        <f>F1746*I1746</f>
        <v>879.00120000000015</v>
      </c>
      <c r="M1746" s="231">
        <f>K1746+L1746</f>
        <v>2675.4784000000004</v>
      </c>
      <c r="N1746" s="227">
        <f>M1746*$N$7</f>
        <v>724.5195507200001</v>
      </c>
      <c r="O1746" s="227">
        <f>M1746+N1746</f>
        <v>3399.9979507200005</v>
      </c>
    </row>
    <row r="1747" spans="1:15" s="552" customFormat="1" ht="15" customHeight="1" x14ac:dyDescent="0.25">
      <c r="A1747" s="543"/>
      <c r="B1747" s="544" t="s">
        <v>715</v>
      </c>
      <c r="C1747" s="513">
        <v>4783</v>
      </c>
      <c r="D1747" s="545" t="s">
        <v>738</v>
      </c>
      <c r="E1747" s="514" t="s">
        <v>42</v>
      </c>
      <c r="F1747" s="546">
        <v>0.187</v>
      </c>
      <c r="G1747" s="547">
        <v>12.57</v>
      </c>
      <c r="H1747" s="548"/>
      <c r="I1747" s="547">
        <f>F1747*G1747</f>
        <v>2.35059</v>
      </c>
      <c r="J1747" s="549"/>
      <c r="K1747" s="548"/>
      <c r="L1747" s="547"/>
      <c r="M1747" s="549"/>
      <c r="N1747" s="550"/>
      <c r="O1747" s="551"/>
    </row>
    <row r="1748" spans="1:15" s="552" customFormat="1" ht="15" customHeight="1" x14ac:dyDescent="0.25">
      <c r="A1748" s="543"/>
      <c r="B1748" s="544" t="s">
        <v>658</v>
      </c>
      <c r="C1748" s="513">
        <v>6111</v>
      </c>
      <c r="D1748" s="545" t="s">
        <v>670</v>
      </c>
      <c r="E1748" s="514" t="s">
        <v>42</v>
      </c>
      <c r="F1748" s="546">
        <v>6.9000000000000006E-2</v>
      </c>
      <c r="G1748" s="547">
        <v>8.92</v>
      </c>
      <c r="H1748" s="548"/>
      <c r="I1748" s="547">
        <f t="shared" ref="I1748" si="246">F1748*G1748</f>
        <v>0.61548000000000003</v>
      </c>
      <c r="J1748" s="549"/>
      <c r="K1748" s="548"/>
      <c r="L1748" s="547"/>
      <c r="M1748" s="549"/>
      <c r="N1748" s="550"/>
      <c r="O1748" s="551"/>
    </row>
    <row r="1749" spans="1:15" s="552" customFormat="1" ht="15" customHeight="1" x14ac:dyDescent="0.25">
      <c r="A1749" s="543"/>
      <c r="B1749" s="544" t="s">
        <v>657</v>
      </c>
      <c r="C1749" s="513">
        <v>7356</v>
      </c>
      <c r="D1749" s="545" t="s">
        <v>739</v>
      </c>
      <c r="E1749" s="514" t="s">
        <v>740</v>
      </c>
      <c r="F1749" s="546">
        <v>0.33</v>
      </c>
      <c r="G1749" s="547">
        <v>18.38</v>
      </c>
      <c r="H1749" s="548">
        <f t="shared" ref="H1749" si="247">F1749*G1749</f>
        <v>6.0654000000000003</v>
      </c>
      <c r="I1749" s="547"/>
      <c r="J1749" s="549"/>
      <c r="K1749" s="548"/>
      <c r="L1749" s="547"/>
      <c r="M1749" s="549"/>
      <c r="N1749" s="550"/>
      <c r="O1749" s="551"/>
    </row>
    <row r="1750" spans="1:15" x14ac:dyDescent="0.25">
      <c r="A1750" s="137"/>
      <c r="B1750" s="127"/>
      <c r="C1750" s="9"/>
      <c r="D1750" s="125" t="s">
        <v>83</v>
      </c>
      <c r="E1750" s="4"/>
      <c r="F1750" s="539"/>
      <c r="G1750" s="540"/>
      <c r="H1750" s="541"/>
      <c r="I1750" s="540"/>
      <c r="J1750" s="542"/>
      <c r="K1750" s="541"/>
      <c r="L1750" s="540"/>
      <c r="M1750" s="542"/>
      <c r="N1750" s="95"/>
      <c r="O1750" s="95"/>
    </row>
    <row r="1751" spans="1:15" s="23" customFormat="1" ht="22.5" x14ac:dyDescent="0.2">
      <c r="A1751" s="223"/>
      <c r="B1751" s="224" t="s">
        <v>222</v>
      </c>
      <c r="C1751" s="225" t="s">
        <v>1031</v>
      </c>
      <c r="D1751" s="232" t="s">
        <v>1026</v>
      </c>
      <c r="E1751" s="225" t="s">
        <v>42</v>
      </c>
      <c r="F1751" s="515">
        <v>24</v>
      </c>
      <c r="G1751" s="228"/>
      <c r="H1751" s="229">
        <f>ROUND(SUM(H1752:H1754),2)</f>
        <v>0</v>
      </c>
      <c r="I1751" s="229">
        <f>ROUND(SUM(I1752:I1754),2)</f>
        <v>21.49</v>
      </c>
      <c r="J1751" s="231">
        <f>(H1751+I1751)</f>
        <v>21.49</v>
      </c>
      <c r="K1751" s="229">
        <f>F1751*H1751</f>
        <v>0</v>
      </c>
      <c r="L1751" s="230">
        <f>F1751*I1751</f>
        <v>515.76</v>
      </c>
      <c r="M1751" s="231">
        <f>K1751+L1751</f>
        <v>515.76</v>
      </c>
      <c r="N1751" s="227">
        <f>M1751*$N$7</f>
        <v>139.66780799999998</v>
      </c>
      <c r="O1751" s="227">
        <f>M1751+N1751</f>
        <v>655.42780799999991</v>
      </c>
    </row>
    <row r="1752" spans="1:15" s="552" customFormat="1" ht="15" customHeight="1" x14ac:dyDescent="0.25">
      <c r="A1752" s="543"/>
      <c r="B1752" s="544" t="s">
        <v>715</v>
      </c>
      <c r="C1752" s="513">
        <v>4783</v>
      </c>
      <c r="D1752" s="545" t="s">
        <v>738</v>
      </c>
      <c r="E1752" s="514" t="s">
        <v>42</v>
      </c>
      <c r="F1752" s="546">
        <v>1</v>
      </c>
      <c r="G1752" s="547">
        <v>12.57</v>
      </c>
      <c r="H1752" s="548"/>
      <c r="I1752" s="547">
        <f>F1752*G1752</f>
        <v>12.57</v>
      </c>
      <c r="J1752" s="549"/>
      <c r="K1752" s="548"/>
      <c r="L1752" s="547"/>
      <c r="M1752" s="549"/>
      <c r="N1752" s="550"/>
      <c r="O1752" s="551"/>
    </row>
    <row r="1753" spans="1:15" s="552" customFormat="1" ht="15" customHeight="1" x14ac:dyDescent="0.25">
      <c r="A1753" s="543"/>
      <c r="B1753" s="544" t="s">
        <v>658</v>
      </c>
      <c r="C1753" s="513">
        <v>6111</v>
      </c>
      <c r="D1753" s="545" t="s">
        <v>670</v>
      </c>
      <c r="E1753" s="514" t="s">
        <v>42</v>
      </c>
      <c r="F1753" s="546">
        <v>1</v>
      </c>
      <c r="G1753" s="547">
        <v>8.92</v>
      </c>
      <c r="H1753" s="548"/>
      <c r="I1753" s="547">
        <f t="shared" ref="I1753" si="248">F1753*G1753</f>
        <v>8.92</v>
      </c>
      <c r="J1753" s="549"/>
      <c r="K1753" s="548"/>
      <c r="L1753" s="547"/>
      <c r="M1753" s="549"/>
      <c r="N1753" s="550"/>
      <c r="O1753" s="551"/>
    </row>
    <row r="1754" spans="1:15" x14ac:dyDescent="0.25">
      <c r="A1754" s="137"/>
      <c r="B1754" s="127"/>
      <c r="C1754" s="9"/>
      <c r="D1754" s="125" t="s">
        <v>83</v>
      </c>
      <c r="E1754" s="4"/>
      <c r="F1754" s="539"/>
      <c r="G1754" s="540"/>
      <c r="H1754" s="541"/>
      <c r="I1754" s="540"/>
      <c r="J1754" s="542"/>
      <c r="K1754" s="541"/>
      <c r="L1754" s="540"/>
      <c r="M1754" s="542"/>
      <c r="N1754" s="95"/>
      <c r="O1754" s="95"/>
    </row>
    <row r="1755" spans="1:15" s="23" customFormat="1" ht="15.75" x14ac:dyDescent="0.2">
      <c r="A1755" s="149"/>
      <c r="B1755" s="150"/>
      <c r="C1755" s="511">
        <v>11</v>
      </c>
      <c r="D1755" s="151" t="s">
        <v>1032</v>
      </c>
      <c r="E1755" s="152"/>
      <c r="F1755" s="151"/>
      <c r="G1755" s="152"/>
      <c r="H1755" s="153"/>
      <c r="I1755" s="154"/>
      <c r="J1755" s="155"/>
      <c r="K1755" s="153"/>
      <c r="L1755" s="154"/>
      <c r="M1755" s="155"/>
      <c r="N1755" s="156"/>
      <c r="O1755" s="157">
        <f>SUM(O1757:O1775)</f>
        <v>1327.4821278000002</v>
      </c>
    </row>
    <row r="1756" spans="1:15" s="23" customFormat="1" ht="14.25" x14ac:dyDescent="0.2">
      <c r="A1756" s="134"/>
      <c r="B1756" s="129"/>
      <c r="C1756" s="29"/>
      <c r="D1756" s="117"/>
      <c r="E1756" s="30"/>
      <c r="F1756" s="476"/>
      <c r="G1756" s="477"/>
      <c r="H1756" s="478"/>
      <c r="I1756" s="479"/>
      <c r="J1756" s="480"/>
      <c r="K1756" s="478"/>
      <c r="L1756" s="479"/>
      <c r="M1756" s="480"/>
      <c r="N1756" s="93"/>
      <c r="O1756" s="93"/>
    </row>
    <row r="1757" spans="1:15" s="23" customFormat="1" ht="33.75" x14ac:dyDescent="0.2">
      <c r="A1757" s="223" t="s">
        <v>78</v>
      </c>
      <c r="B1757" s="224">
        <v>72223</v>
      </c>
      <c r="C1757" s="225" t="s">
        <v>1090</v>
      </c>
      <c r="D1757" s="226" t="s">
        <v>1033</v>
      </c>
      <c r="E1757" s="225" t="s">
        <v>58</v>
      </c>
      <c r="F1757" s="515">
        <v>1</v>
      </c>
      <c r="G1757" s="228"/>
      <c r="H1757" s="229">
        <f>ROUND(SUM(H1758:H1759),2)</f>
        <v>0</v>
      </c>
      <c r="I1757" s="229">
        <f>ROUND(SUM(I1758:I1759),2)</f>
        <v>9.91</v>
      </c>
      <c r="J1757" s="231">
        <f>(H1757+I1757)</f>
        <v>9.91</v>
      </c>
      <c r="K1757" s="229">
        <f>F1757*H1757</f>
        <v>0</v>
      </c>
      <c r="L1757" s="230">
        <f>F1757*I1757</f>
        <v>9.91</v>
      </c>
      <c r="M1757" s="231">
        <f>K1757+L1757</f>
        <v>9.91</v>
      </c>
      <c r="N1757" s="227">
        <f>M1757*$N$7</f>
        <v>2.6836279999999997</v>
      </c>
      <c r="O1757" s="227">
        <f>M1757+N1757</f>
        <v>12.593627999999999</v>
      </c>
    </row>
    <row r="1758" spans="1:15" s="552" customFormat="1" ht="15" customHeight="1" x14ac:dyDescent="0.25">
      <c r="A1758" s="543"/>
      <c r="B1758" s="544" t="s">
        <v>658</v>
      </c>
      <c r="C1758" s="513">
        <v>1214</v>
      </c>
      <c r="D1758" s="545" t="s">
        <v>680</v>
      </c>
      <c r="E1758" s="514" t="s">
        <v>42</v>
      </c>
      <c r="F1758" s="546">
        <v>0.8</v>
      </c>
      <c r="G1758" s="547">
        <v>12.39</v>
      </c>
      <c r="H1758" s="548"/>
      <c r="I1758" s="547">
        <f>F1758*G1758</f>
        <v>9.9120000000000008</v>
      </c>
      <c r="J1758" s="549"/>
      <c r="K1758" s="548"/>
      <c r="L1758" s="547"/>
      <c r="M1758" s="549"/>
      <c r="N1758" s="550"/>
      <c r="O1758" s="551"/>
    </row>
    <row r="1759" spans="1:15" s="167" customFormat="1" ht="11.25" x14ac:dyDescent="0.2">
      <c r="A1759" s="170"/>
      <c r="B1759" s="129"/>
      <c r="C1759" s="29"/>
      <c r="D1759" s="117" t="s">
        <v>83</v>
      </c>
      <c r="E1759" s="30"/>
      <c r="F1759" s="118"/>
      <c r="G1759" s="31"/>
      <c r="H1759" s="104"/>
      <c r="I1759" s="27"/>
      <c r="J1759" s="105"/>
      <c r="K1759" s="104"/>
      <c r="L1759" s="27"/>
      <c r="M1759" s="105"/>
      <c r="N1759" s="92"/>
      <c r="O1759" s="169"/>
    </row>
    <row r="1760" spans="1:15" s="23" customFormat="1" ht="45" x14ac:dyDescent="0.2">
      <c r="A1760" s="223" t="s">
        <v>78</v>
      </c>
      <c r="B1760" s="224" t="s">
        <v>1043</v>
      </c>
      <c r="C1760" s="225" t="s">
        <v>1091</v>
      </c>
      <c r="D1760" s="226" t="s">
        <v>1088</v>
      </c>
      <c r="E1760" s="225" t="s">
        <v>81</v>
      </c>
      <c r="F1760" s="609">
        <v>1</v>
      </c>
      <c r="G1760" s="474"/>
      <c r="H1760" s="610">
        <f>ROUND(SUM(H1761:H1764),2)</f>
        <v>632</v>
      </c>
      <c r="I1760" s="610">
        <f>ROUND(SUM(I1761:I1764),2)</f>
        <v>0</v>
      </c>
      <c r="J1760" s="611">
        <f>(H1760+I1760)</f>
        <v>632</v>
      </c>
      <c r="K1760" s="610">
        <f>F1760*H1760</f>
        <v>632</v>
      </c>
      <c r="L1760" s="475">
        <f>F1760*I1760</f>
        <v>0</v>
      </c>
      <c r="M1760" s="611">
        <f>K1760+L1760</f>
        <v>632</v>
      </c>
      <c r="N1760" s="473">
        <f>M1760*$N$7</f>
        <v>171.1456</v>
      </c>
      <c r="O1760" s="473">
        <f>M1760+N1760</f>
        <v>803.14560000000006</v>
      </c>
    </row>
    <row r="1761" spans="1:15" s="23" customFormat="1" ht="14.25" x14ac:dyDescent="0.2">
      <c r="A1761" s="543"/>
      <c r="B1761" s="544" t="s">
        <v>1035</v>
      </c>
      <c r="C1761" s="513">
        <v>88325</v>
      </c>
      <c r="D1761" s="545" t="s">
        <v>1036</v>
      </c>
      <c r="E1761" s="514" t="s">
        <v>1037</v>
      </c>
      <c r="F1761" s="546">
        <v>4</v>
      </c>
      <c r="G1761" s="612">
        <v>10.84</v>
      </c>
      <c r="H1761" s="613">
        <f>F1761*G1761</f>
        <v>43.36</v>
      </c>
      <c r="I1761" s="612"/>
      <c r="J1761" s="614"/>
      <c r="K1761" s="613"/>
      <c r="L1761" s="612"/>
      <c r="M1761" s="614"/>
      <c r="N1761" s="550"/>
      <c r="O1761" s="551"/>
    </row>
    <row r="1762" spans="1:15" s="23" customFormat="1" ht="24.75" x14ac:dyDescent="0.2">
      <c r="A1762" s="543"/>
      <c r="B1762" s="544" t="s">
        <v>658</v>
      </c>
      <c r="C1762" s="513">
        <v>3104</v>
      </c>
      <c r="D1762" s="545" t="s">
        <v>1048</v>
      </c>
      <c r="E1762" s="514" t="s">
        <v>1038</v>
      </c>
      <c r="F1762" s="546">
        <v>1</v>
      </c>
      <c r="G1762" s="612">
        <v>274.04000000000002</v>
      </c>
      <c r="H1762" s="613">
        <f>F1762*G1762</f>
        <v>274.04000000000002</v>
      </c>
      <c r="I1762" s="612"/>
      <c r="J1762" s="614"/>
      <c r="K1762" s="613"/>
      <c r="L1762" s="612"/>
      <c r="M1762" s="614"/>
      <c r="N1762" s="550"/>
      <c r="O1762" s="551"/>
    </row>
    <row r="1763" spans="1:15" s="23" customFormat="1" ht="14.25" x14ac:dyDescent="0.2">
      <c r="A1763" s="543" t="s">
        <v>79</v>
      </c>
      <c r="B1763" s="544" t="s">
        <v>658</v>
      </c>
      <c r="C1763" s="513" t="s">
        <v>1034</v>
      </c>
      <c r="D1763" s="545" t="s">
        <v>1046</v>
      </c>
      <c r="E1763" s="514" t="s">
        <v>1039</v>
      </c>
      <c r="F1763" s="546">
        <f>0.9*0.8</f>
        <v>0.72000000000000008</v>
      </c>
      <c r="G1763" s="612">
        <v>386</v>
      </c>
      <c r="H1763" s="613">
        <f>F1763*G1763</f>
        <v>277.92</v>
      </c>
      <c r="I1763" s="612"/>
      <c r="J1763" s="614"/>
      <c r="K1763" s="613"/>
      <c r="L1763" s="612"/>
      <c r="M1763" s="614"/>
      <c r="N1763" s="550"/>
      <c r="O1763" s="551"/>
    </row>
    <row r="1764" spans="1:15" s="23" customFormat="1" ht="14.25" x14ac:dyDescent="0.2">
      <c r="A1764" s="543" t="s">
        <v>79</v>
      </c>
      <c r="B1764" s="544"/>
      <c r="C1764" s="615">
        <v>27008000013</v>
      </c>
      <c r="D1764" s="545" t="s">
        <v>1044</v>
      </c>
      <c r="E1764" s="514" t="s">
        <v>1040</v>
      </c>
      <c r="F1764" s="546">
        <v>2</v>
      </c>
      <c r="G1764" s="612">
        <v>18.34</v>
      </c>
      <c r="H1764" s="613">
        <f>F1764*G1764</f>
        <v>36.68</v>
      </c>
      <c r="I1764" s="612"/>
      <c r="J1764" s="614"/>
      <c r="K1764" s="613"/>
      <c r="L1764" s="612"/>
      <c r="M1764" s="614"/>
      <c r="N1764" s="550"/>
      <c r="O1764" s="551"/>
    </row>
    <row r="1765" spans="1:15" s="23" customFormat="1" ht="14.25" x14ac:dyDescent="0.2">
      <c r="A1765" s="543"/>
      <c r="B1765" s="544"/>
      <c r="C1765" s="513"/>
      <c r="D1765" s="545"/>
      <c r="E1765" s="514"/>
      <c r="F1765" s="546"/>
      <c r="G1765" s="612"/>
      <c r="H1765" s="613"/>
      <c r="I1765" s="612"/>
      <c r="J1765" s="614"/>
      <c r="K1765" s="613"/>
      <c r="L1765" s="612"/>
      <c r="M1765" s="614"/>
      <c r="N1765" s="550"/>
      <c r="O1765" s="551"/>
    </row>
    <row r="1766" spans="1:15" s="23" customFormat="1" ht="33.75" x14ac:dyDescent="0.2">
      <c r="A1766" s="223" t="s">
        <v>78</v>
      </c>
      <c r="B1766" s="224" t="s">
        <v>1045</v>
      </c>
      <c r="C1766" s="225" t="s">
        <v>1092</v>
      </c>
      <c r="D1766" s="226" t="s">
        <v>1089</v>
      </c>
      <c r="E1766" s="225" t="s">
        <v>27</v>
      </c>
      <c r="F1766" s="609">
        <f>0.5*0.9</f>
        <v>0.45</v>
      </c>
      <c r="G1766" s="474"/>
      <c r="H1766" s="610">
        <f>ROUND(SUM(H1767:H1770),2)</f>
        <v>469.85</v>
      </c>
      <c r="I1766" s="610">
        <f>ROUND(SUM(I1767:I1770),2)</f>
        <v>42.98</v>
      </c>
      <c r="J1766" s="611">
        <f>(H1766+I1766)</f>
        <v>512.83000000000004</v>
      </c>
      <c r="K1766" s="610">
        <f>F1766*H1766</f>
        <v>211.4325</v>
      </c>
      <c r="L1766" s="475">
        <f>F1766*I1766</f>
        <v>19.340999999999998</v>
      </c>
      <c r="M1766" s="611">
        <f>K1766+L1766</f>
        <v>230.77350000000001</v>
      </c>
      <c r="N1766" s="473">
        <f>M1766*$N$7</f>
        <v>62.493463800000001</v>
      </c>
      <c r="O1766" s="473">
        <f>M1766+N1766</f>
        <v>293.26696379999998</v>
      </c>
    </row>
    <row r="1767" spans="1:15" s="23" customFormat="1" ht="14.25" x14ac:dyDescent="0.2">
      <c r="A1767" s="543"/>
      <c r="B1767" s="544" t="s">
        <v>656</v>
      </c>
      <c r="C1767" s="513">
        <v>6111</v>
      </c>
      <c r="D1767" s="545" t="s">
        <v>670</v>
      </c>
      <c r="E1767" s="514" t="s">
        <v>91</v>
      </c>
      <c r="F1767" s="546">
        <v>2</v>
      </c>
      <c r="G1767" s="612">
        <v>8.92</v>
      </c>
      <c r="H1767" s="613"/>
      <c r="I1767" s="612">
        <f>F1767*G1767</f>
        <v>17.84</v>
      </c>
      <c r="J1767" s="614"/>
      <c r="K1767" s="613"/>
      <c r="L1767" s="612"/>
      <c r="M1767" s="614"/>
      <c r="N1767" s="550"/>
      <c r="O1767" s="551"/>
    </row>
    <row r="1768" spans="1:15" s="25" customFormat="1" x14ac:dyDescent="0.2">
      <c r="A1768" s="543"/>
      <c r="B1768" s="544" t="s">
        <v>656</v>
      </c>
      <c r="C1768" s="513">
        <v>88325</v>
      </c>
      <c r="D1768" s="545" t="s">
        <v>1041</v>
      </c>
      <c r="E1768" s="514" t="s">
        <v>91</v>
      </c>
      <c r="F1768" s="546">
        <v>2</v>
      </c>
      <c r="G1768" s="612">
        <v>12.57</v>
      </c>
      <c r="H1768" s="613"/>
      <c r="I1768" s="612">
        <f>F1768*G1768</f>
        <v>25.14</v>
      </c>
      <c r="J1768" s="614"/>
      <c r="K1768" s="613"/>
      <c r="L1768" s="612"/>
      <c r="M1768" s="614"/>
      <c r="N1768" s="550"/>
      <c r="O1768" s="551"/>
    </row>
    <row r="1769" spans="1:15" s="23" customFormat="1" ht="14.25" x14ac:dyDescent="0.2">
      <c r="A1769" s="543" t="s">
        <v>79</v>
      </c>
      <c r="B1769" s="544" t="s">
        <v>658</v>
      </c>
      <c r="C1769" s="513" t="s">
        <v>1034</v>
      </c>
      <c r="D1769" s="545" t="s">
        <v>1046</v>
      </c>
      <c r="E1769" s="514" t="s">
        <v>1039</v>
      </c>
      <c r="F1769" s="546">
        <v>1</v>
      </c>
      <c r="G1769" s="612">
        <v>386</v>
      </c>
      <c r="H1769" s="613">
        <f>F1769*G1769</f>
        <v>386</v>
      </c>
      <c r="I1769" s="612"/>
      <c r="J1769" s="614"/>
      <c r="K1769" s="613"/>
      <c r="L1769" s="612"/>
      <c r="M1769" s="614"/>
      <c r="N1769" s="550"/>
      <c r="O1769" s="551"/>
    </row>
    <row r="1770" spans="1:15" s="23" customFormat="1" ht="14.25" x14ac:dyDescent="0.2">
      <c r="A1770" s="543"/>
      <c r="B1770" s="544" t="s">
        <v>715</v>
      </c>
      <c r="C1770" s="513">
        <v>20241</v>
      </c>
      <c r="D1770" s="545" t="s">
        <v>1042</v>
      </c>
      <c r="E1770" s="514" t="s">
        <v>81</v>
      </c>
      <c r="F1770" s="546">
        <v>1</v>
      </c>
      <c r="G1770" s="612">
        <v>83.85</v>
      </c>
      <c r="H1770" s="613">
        <f>F1770*G1770</f>
        <v>83.85</v>
      </c>
      <c r="I1770" s="612"/>
      <c r="J1770" s="614"/>
      <c r="K1770" s="613"/>
      <c r="L1770" s="612"/>
      <c r="M1770" s="614"/>
      <c r="N1770" s="550"/>
      <c r="O1770" s="551"/>
    </row>
    <row r="1771" spans="1:15" s="23" customFormat="1" ht="14.25" x14ac:dyDescent="0.2">
      <c r="A1771" s="134"/>
      <c r="B1771" s="129"/>
      <c r="C1771" s="29"/>
      <c r="D1771" s="117" t="s">
        <v>83</v>
      </c>
      <c r="E1771" s="30"/>
      <c r="F1771" s="476"/>
      <c r="G1771" s="477"/>
      <c r="H1771" s="478"/>
      <c r="I1771" s="479"/>
      <c r="J1771" s="480"/>
      <c r="K1771" s="478"/>
      <c r="L1771" s="479"/>
      <c r="M1771" s="480"/>
      <c r="N1771" s="92"/>
      <c r="O1771" s="92"/>
    </row>
    <row r="1772" spans="1:15" s="23" customFormat="1" ht="22.5" x14ac:dyDescent="0.2">
      <c r="A1772" s="223"/>
      <c r="B1772" s="224" t="s">
        <v>222</v>
      </c>
      <c r="C1772" s="225" t="s">
        <v>1093</v>
      </c>
      <c r="D1772" s="226" t="s">
        <v>1047</v>
      </c>
      <c r="E1772" s="225" t="s">
        <v>42</v>
      </c>
      <c r="F1772" s="515">
        <v>8</v>
      </c>
      <c r="G1772" s="228"/>
      <c r="H1772" s="229">
        <f>ROUND(SUM(H1773:H1775),2)</f>
        <v>0</v>
      </c>
      <c r="I1772" s="229">
        <f>ROUND(SUM(I1773:I1775),2)</f>
        <v>21.49</v>
      </c>
      <c r="J1772" s="231">
        <f>(H1772+I1772)</f>
        <v>21.49</v>
      </c>
      <c r="K1772" s="229">
        <f>F1772*H1772</f>
        <v>0</v>
      </c>
      <c r="L1772" s="230">
        <f>F1772*I1772</f>
        <v>171.92</v>
      </c>
      <c r="M1772" s="231">
        <f>K1772+L1772</f>
        <v>171.92</v>
      </c>
      <c r="N1772" s="227">
        <f>M1772*$N$7</f>
        <v>46.555935999999996</v>
      </c>
      <c r="O1772" s="227">
        <f>M1772+N1772</f>
        <v>218.47593599999999</v>
      </c>
    </row>
    <row r="1773" spans="1:15" s="552" customFormat="1" ht="15" customHeight="1" x14ac:dyDescent="0.25">
      <c r="A1773" s="543"/>
      <c r="B1773" s="544" t="s">
        <v>715</v>
      </c>
      <c r="C1773" s="513">
        <v>1214</v>
      </c>
      <c r="D1773" s="545" t="s">
        <v>680</v>
      </c>
      <c r="E1773" s="514" t="s">
        <v>42</v>
      </c>
      <c r="F1773" s="546">
        <v>1</v>
      </c>
      <c r="G1773" s="547">
        <v>12.57</v>
      </c>
      <c r="H1773" s="548"/>
      <c r="I1773" s="547">
        <f>F1773*G1773</f>
        <v>12.57</v>
      </c>
      <c r="J1773" s="549"/>
      <c r="K1773" s="548"/>
      <c r="L1773" s="547"/>
      <c r="M1773" s="549"/>
      <c r="N1773" s="550"/>
      <c r="O1773" s="551"/>
    </row>
    <row r="1774" spans="1:15" s="552" customFormat="1" ht="15" customHeight="1" x14ac:dyDescent="0.25">
      <c r="A1774" s="543"/>
      <c r="B1774" s="544" t="s">
        <v>658</v>
      </c>
      <c r="C1774" s="513">
        <v>6111</v>
      </c>
      <c r="D1774" s="545" t="s">
        <v>670</v>
      </c>
      <c r="E1774" s="514" t="s">
        <v>42</v>
      </c>
      <c r="F1774" s="546">
        <v>1</v>
      </c>
      <c r="G1774" s="547">
        <v>8.92</v>
      </c>
      <c r="H1774" s="548"/>
      <c r="I1774" s="547">
        <f t="shared" ref="I1774" si="249">F1774*G1774</f>
        <v>8.92</v>
      </c>
      <c r="J1774" s="549"/>
      <c r="K1774" s="548"/>
      <c r="L1774" s="547"/>
      <c r="M1774" s="549"/>
      <c r="N1774" s="550"/>
      <c r="O1774" s="551"/>
    </row>
    <row r="1775" spans="1:15" x14ac:dyDescent="0.25">
      <c r="A1775" s="137"/>
      <c r="B1775" s="127"/>
      <c r="C1775" s="9"/>
      <c r="D1775" s="125" t="s">
        <v>83</v>
      </c>
      <c r="E1775" s="4"/>
      <c r="F1775" s="539"/>
      <c r="G1775" s="540"/>
      <c r="H1775" s="541"/>
      <c r="I1775" s="540"/>
      <c r="J1775" s="542"/>
      <c r="K1775" s="541"/>
      <c r="L1775" s="540"/>
      <c r="M1775" s="542"/>
      <c r="N1775" s="95"/>
      <c r="O1775" s="95"/>
    </row>
    <row r="1776" spans="1:15" s="23" customFormat="1" ht="15.75" x14ac:dyDescent="0.2">
      <c r="A1776" s="149"/>
      <c r="B1776" s="150"/>
      <c r="C1776" s="511">
        <v>12</v>
      </c>
      <c r="D1776" s="151" t="s">
        <v>1366</v>
      </c>
      <c r="E1776" s="152"/>
      <c r="F1776" s="151"/>
      <c r="G1776" s="152"/>
      <c r="H1776" s="153"/>
      <c r="I1776" s="154"/>
      <c r="J1776" s="155"/>
      <c r="K1776" s="153"/>
      <c r="L1776" s="154"/>
      <c r="M1776" s="155"/>
      <c r="N1776" s="156"/>
      <c r="O1776" s="157">
        <f>SUM(O1778:O1912)</f>
        <v>23769.298376640007</v>
      </c>
    </row>
    <row r="1777" spans="1:15" s="23" customFormat="1" ht="14.25" x14ac:dyDescent="0.2">
      <c r="A1777" s="134"/>
      <c r="B1777" s="129"/>
      <c r="C1777" s="29"/>
      <c r="D1777" s="117"/>
      <c r="E1777" s="30"/>
      <c r="F1777" s="476"/>
      <c r="G1777" s="477"/>
      <c r="H1777" s="478"/>
      <c r="I1777" s="479"/>
      <c r="J1777" s="480"/>
      <c r="K1777" s="478"/>
      <c r="L1777" s="479"/>
      <c r="M1777" s="480"/>
      <c r="N1777" s="93"/>
      <c r="O1777" s="93"/>
    </row>
    <row r="1778" spans="1:15" s="23" customFormat="1" ht="14.25" x14ac:dyDescent="0.2">
      <c r="A1778" s="134"/>
      <c r="B1778" s="129"/>
      <c r="C1778" s="29"/>
      <c r="D1778" s="736" t="s">
        <v>1367</v>
      </c>
      <c r="E1778" s="30"/>
      <c r="F1778" s="476"/>
      <c r="G1778" s="477"/>
      <c r="H1778" s="478"/>
      <c r="I1778" s="735"/>
      <c r="J1778" s="480"/>
      <c r="K1778" s="478"/>
      <c r="L1778" s="479"/>
      <c r="M1778" s="480"/>
      <c r="N1778" s="93"/>
      <c r="O1778" s="93"/>
    </row>
    <row r="1779" spans="1:15" s="23" customFormat="1" ht="22.5" x14ac:dyDescent="0.2">
      <c r="A1779" s="223" t="s">
        <v>78</v>
      </c>
      <c r="B1779" s="224" t="s">
        <v>1372</v>
      </c>
      <c r="C1779" s="225" t="s">
        <v>1092</v>
      </c>
      <c r="D1779" s="232" t="s">
        <v>1426</v>
      </c>
      <c r="E1779" s="225" t="s">
        <v>1097</v>
      </c>
      <c r="F1779" s="609">
        <v>80</v>
      </c>
      <c r="G1779" s="474"/>
      <c r="H1779" s="610">
        <f>ROUND(SUM(H1780:H1785),2)</f>
        <v>25.44</v>
      </c>
      <c r="I1779" s="610">
        <f>ROUND(SUM(I1780:I1785),2)</f>
        <v>16.12</v>
      </c>
      <c r="J1779" s="611">
        <f>(H1779+I1779)</f>
        <v>41.56</v>
      </c>
      <c r="K1779" s="610">
        <f>F1779*H1779</f>
        <v>2035.2</v>
      </c>
      <c r="L1779" s="475">
        <f>F1779*I1779</f>
        <v>1289.6000000000001</v>
      </c>
      <c r="M1779" s="611">
        <f>K1779+L1779</f>
        <v>3324.8</v>
      </c>
      <c r="N1779" s="473">
        <f>M1779*$N$7</f>
        <v>900.35583999999994</v>
      </c>
      <c r="O1779" s="473">
        <f>M1779+N1779</f>
        <v>4225.1558400000004</v>
      </c>
    </row>
    <row r="1780" spans="1:15" s="23" customFormat="1" ht="14.25" x14ac:dyDescent="0.2">
      <c r="A1780" s="543"/>
      <c r="B1780" s="544" t="s">
        <v>658</v>
      </c>
      <c r="C1780" s="513">
        <v>6111</v>
      </c>
      <c r="D1780" s="545" t="s">
        <v>670</v>
      </c>
      <c r="E1780" s="514" t="s">
        <v>91</v>
      </c>
      <c r="F1780" s="546">
        <v>0.75</v>
      </c>
      <c r="G1780" s="612">
        <v>8.92</v>
      </c>
      <c r="H1780" s="613">
        <f>F1780*G1780</f>
        <v>6.6899999999999995</v>
      </c>
      <c r="I1780" s="612">
        <f>F1780*G1780</f>
        <v>6.6899999999999995</v>
      </c>
      <c r="J1780" s="614"/>
      <c r="K1780" s="613"/>
      <c r="L1780" s="612"/>
      <c r="M1780" s="614"/>
      <c r="N1780" s="550"/>
      <c r="O1780" s="551"/>
    </row>
    <row r="1781" spans="1:15" s="552" customFormat="1" ht="18.75" customHeight="1" x14ac:dyDescent="0.25">
      <c r="A1781" s="543"/>
      <c r="B1781" s="544" t="s">
        <v>658</v>
      </c>
      <c r="C1781" s="513">
        <v>2696</v>
      </c>
      <c r="D1781" s="545" t="s">
        <v>765</v>
      </c>
      <c r="E1781" s="514" t="s">
        <v>42</v>
      </c>
      <c r="F1781" s="546">
        <v>0.75</v>
      </c>
      <c r="G1781" s="547">
        <v>12.57</v>
      </c>
      <c r="H1781" s="613">
        <f>F1781*G1781</f>
        <v>9.4275000000000002</v>
      </c>
      <c r="I1781" s="547">
        <f>F1781*G1781</f>
        <v>9.4275000000000002</v>
      </c>
      <c r="J1781" s="549"/>
      <c r="K1781" s="548"/>
      <c r="L1781" s="547"/>
      <c r="M1781" s="549"/>
      <c r="N1781" s="550"/>
      <c r="O1781" s="551"/>
    </row>
    <row r="1782" spans="1:15" s="23" customFormat="1" ht="14.25" x14ac:dyDescent="0.2">
      <c r="A1782" s="543"/>
      <c r="B1782" s="544" t="s">
        <v>658</v>
      </c>
      <c r="C1782" s="513">
        <v>122</v>
      </c>
      <c r="D1782" s="545" t="s">
        <v>1369</v>
      </c>
      <c r="E1782" s="514" t="s">
        <v>81</v>
      </c>
      <c r="F1782" s="546">
        <v>2.5000000000000001E-3</v>
      </c>
      <c r="G1782" s="612">
        <v>34.479999999999997</v>
      </c>
      <c r="H1782" s="613">
        <f t="shared" ref="H1782:H1785" si="250">F1782*G1782</f>
        <v>8.6199999999999999E-2</v>
      </c>
      <c r="I1782" s="612"/>
      <c r="J1782" s="614"/>
      <c r="K1782" s="613"/>
      <c r="L1782" s="612"/>
      <c r="M1782" s="614"/>
      <c r="N1782" s="550"/>
      <c r="O1782" s="551"/>
    </row>
    <row r="1783" spans="1:15" s="23" customFormat="1" ht="14.25" x14ac:dyDescent="0.2">
      <c r="A1783" s="543"/>
      <c r="B1783" s="544" t="s">
        <v>715</v>
      </c>
      <c r="C1783" s="513">
        <v>9838</v>
      </c>
      <c r="D1783" s="545" t="s">
        <v>1427</v>
      </c>
      <c r="E1783" s="514" t="s">
        <v>1097</v>
      </c>
      <c r="F1783" s="546">
        <v>1.4</v>
      </c>
      <c r="G1783" s="612">
        <v>5.88</v>
      </c>
      <c r="H1783" s="613">
        <f t="shared" si="250"/>
        <v>8.2319999999999993</v>
      </c>
      <c r="I1783" s="612"/>
      <c r="J1783" s="614"/>
      <c r="K1783" s="613"/>
      <c r="L1783" s="612"/>
      <c r="M1783" s="614"/>
      <c r="N1783" s="550"/>
      <c r="O1783" s="551"/>
    </row>
    <row r="1784" spans="1:15" s="23" customFormat="1" ht="14.25" x14ac:dyDescent="0.2">
      <c r="A1784" s="543"/>
      <c r="B1784" s="544" t="s">
        <v>1121</v>
      </c>
      <c r="C1784" s="513">
        <v>20083</v>
      </c>
      <c r="D1784" s="545" t="s">
        <v>1371</v>
      </c>
      <c r="E1784" s="514" t="s">
        <v>684</v>
      </c>
      <c r="F1784" s="546">
        <v>3.7000000000000002E-3</v>
      </c>
      <c r="G1784" s="612">
        <v>40.840000000000003</v>
      </c>
      <c r="H1784" s="613">
        <f t="shared" ref="H1784" si="251">F1784*G1784</f>
        <v>0.15110800000000002</v>
      </c>
      <c r="I1784" s="612"/>
      <c r="J1784" s="614"/>
      <c r="K1784" s="613"/>
      <c r="L1784" s="612"/>
      <c r="M1784" s="614"/>
      <c r="N1784" s="550"/>
      <c r="O1784" s="551"/>
    </row>
    <row r="1785" spans="1:15" s="23" customFormat="1" ht="14.25" x14ac:dyDescent="0.2">
      <c r="A1785" s="543"/>
      <c r="B1785" s="544" t="s">
        <v>1121</v>
      </c>
      <c r="C1785" s="513">
        <v>397</v>
      </c>
      <c r="D1785" s="545" t="s">
        <v>1425</v>
      </c>
      <c r="E1785" s="514" t="s">
        <v>684</v>
      </c>
      <c r="F1785" s="546">
        <v>1</v>
      </c>
      <c r="G1785" s="612">
        <v>0.85</v>
      </c>
      <c r="H1785" s="613">
        <f t="shared" si="250"/>
        <v>0.85</v>
      </c>
      <c r="I1785" s="612"/>
      <c r="J1785" s="614"/>
      <c r="K1785" s="613"/>
      <c r="L1785" s="612"/>
      <c r="M1785" s="614"/>
      <c r="N1785" s="550"/>
      <c r="O1785" s="551"/>
    </row>
    <row r="1786" spans="1:15" s="23" customFormat="1" ht="14.25" x14ac:dyDescent="0.2">
      <c r="A1786" s="134"/>
      <c r="B1786" s="129"/>
      <c r="C1786" s="29"/>
      <c r="D1786" s="117"/>
      <c r="E1786" s="30"/>
      <c r="F1786" s="476"/>
      <c r="G1786" s="477"/>
      <c r="H1786" s="478"/>
      <c r="I1786" s="735"/>
      <c r="J1786" s="480"/>
      <c r="K1786" s="478"/>
      <c r="L1786" s="479"/>
      <c r="M1786" s="480"/>
      <c r="N1786" s="92"/>
      <c r="O1786" s="92"/>
    </row>
    <row r="1787" spans="1:15" s="23" customFormat="1" ht="22.5" x14ac:dyDescent="0.2">
      <c r="A1787" s="223" t="s">
        <v>78</v>
      </c>
      <c r="B1787" s="224" t="s">
        <v>1368</v>
      </c>
      <c r="C1787" s="225" t="s">
        <v>1092</v>
      </c>
      <c r="D1787" s="232" t="s">
        <v>1423</v>
      </c>
      <c r="E1787" s="225" t="s">
        <v>1097</v>
      </c>
      <c r="F1787" s="609">
        <v>15</v>
      </c>
      <c r="G1787" s="474"/>
      <c r="H1787" s="610">
        <f>ROUND(SUM(H1788:H1793),2)</f>
        <v>34.369999999999997</v>
      </c>
      <c r="I1787" s="610">
        <f>ROUND(SUM(I1788:I1793),2)</f>
        <v>22.56</v>
      </c>
      <c r="J1787" s="611">
        <f>(H1787+I1787)</f>
        <v>56.929999999999993</v>
      </c>
      <c r="K1787" s="610">
        <f>F1787*H1787</f>
        <v>515.54999999999995</v>
      </c>
      <c r="L1787" s="475">
        <f>F1787*I1787</f>
        <v>338.4</v>
      </c>
      <c r="M1787" s="611">
        <f>K1787+L1787</f>
        <v>853.94999999999993</v>
      </c>
      <c r="N1787" s="473">
        <f>M1787*$N$7</f>
        <v>231.24965999999998</v>
      </c>
      <c r="O1787" s="473">
        <f>M1787+N1787</f>
        <v>1085.19966</v>
      </c>
    </row>
    <row r="1788" spans="1:15" s="23" customFormat="1" ht="14.25" x14ac:dyDescent="0.2">
      <c r="A1788" s="543"/>
      <c r="B1788" s="544" t="s">
        <v>658</v>
      </c>
      <c r="C1788" s="513">
        <v>6111</v>
      </c>
      <c r="D1788" s="545" t="s">
        <v>670</v>
      </c>
      <c r="E1788" s="514" t="s">
        <v>91</v>
      </c>
      <c r="F1788" s="546">
        <v>1.05</v>
      </c>
      <c r="G1788" s="612">
        <v>8.92</v>
      </c>
      <c r="H1788" s="613">
        <f>F1788*G1788</f>
        <v>9.3659999999999997</v>
      </c>
      <c r="I1788" s="612">
        <f>F1788*G1788</f>
        <v>9.3659999999999997</v>
      </c>
      <c r="J1788" s="614"/>
      <c r="K1788" s="613"/>
      <c r="L1788" s="612"/>
      <c r="M1788" s="614"/>
      <c r="N1788" s="550"/>
      <c r="O1788" s="551"/>
    </row>
    <row r="1789" spans="1:15" s="552" customFormat="1" ht="18.75" customHeight="1" x14ac:dyDescent="0.25">
      <c r="A1789" s="543"/>
      <c r="B1789" s="544" t="s">
        <v>658</v>
      </c>
      <c r="C1789" s="513">
        <v>2696</v>
      </c>
      <c r="D1789" s="545" t="s">
        <v>765</v>
      </c>
      <c r="E1789" s="514" t="s">
        <v>42</v>
      </c>
      <c r="F1789" s="546">
        <v>1.05</v>
      </c>
      <c r="G1789" s="547">
        <v>12.57</v>
      </c>
      <c r="H1789" s="613">
        <f>F1789*G1789</f>
        <v>13.198500000000001</v>
      </c>
      <c r="I1789" s="547">
        <f>F1789*G1789</f>
        <v>13.198500000000001</v>
      </c>
      <c r="J1789" s="549"/>
      <c r="K1789" s="548"/>
      <c r="L1789" s="547"/>
      <c r="M1789" s="549"/>
      <c r="N1789" s="550"/>
      <c r="O1789" s="551"/>
    </row>
    <row r="1790" spans="1:15" s="23" customFormat="1" ht="14.25" x14ac:dyDescent="0.2">
      <c r="A1790" s="543"/>
      <c r="B1790" s="544" t="s">
        <v>658</v>
      </c>
      <c r="C1790" s="513">
        <v>122</v>
      </c>
      <c r="D1790" s="545" t="s">
        <v>1369</v>
      </c>
      <c r="E1790" s="514" t="s">
        <v>81</v>
      </c>
      <c r="F1790" s="546">
        <v>5.7000000000000002E-3</v>
      </c>
      <c r="G1790" s="612">
        <v>34.479999999999997</v>
      </c>
      <c r="H1790" s="613">
        <f t="shared" ref="H1790:H1793" si="252">F1790*G1790</f>
        <v>0.19653599999999999</v>
      </c>
      <c r="I1790" s="612"/>
      <c r="J1790" s="614"/>
      <c r="K1790" s="613"/>
      <c r="L1790" s="612"/>
      <c r="M1790" s="614"/>
      <c r="N1790" s="550"/>
      <c r="O1790" s="551"/>
    </row>
    <row r="1791" spans="1:15" s="23" customFormat="1" ht="14.25" x14ac:dyDescent="0.2">
      <c r="A1791" s="543"/>
      <c r="B1791" s="544" t="s">
        <v>715</v>
      </c>
      <c r="C1791" s="513">
        <v>9837</v>
      </c>
      <c r="D1791" s="545" t="s">
        <v>1370</v>
      </c>
      <c r="E1791" s="514" t="s">
        <v>1097</v>
      </c>
      <c r="F1791" s="546">
        <v>1.4</v>
      </c>
      <c r="G1791" s="612">
        <v>7.43</v>
      </c>
      <c r="H1791" s="613">
        <f t="shared" si="252"/>
        <v>10.401999999999999</v>
      </c>
      <c r="I1791" s="612"/>
      <c r="J1791" s="614"/>
      <c r="K1791" s="613"/>
      <c r="L1791" s="612"/>
      <c r="M1791" s="614"/>
      <c r="N1791" s="550"/>
      <c r="O1791" s="551"/>
    </row>
    <row r="1792" spans="1:15" s="23" customFormat="1" ht="14.25" x14ac:dyDescent="0.2">
      <c r="A1792" s="543"/>
      <c r="B1792" s="544" t="s">
        <v>1121</v>
      </c>
      <c r="C1792" s="513">
        <v>397</v>
      </c>
      <c r="D1792" s="545" t="s">
        <v>1425</v>
      </c>
      <c r="E1792" s="514" t="s">
        <v>684</v>
      </c>
      <c r="F1792" s="546">
        <v>1</v>
      </c>
      <c r="G1792" s="612">
        <v>0.85</v>
      </c>
      <c r="H1792" s="613">
        <f t="shared" si="252"/>
        <v>0.85</v>
      </c>
      <c r="I1792" s="612"/>
      <c r="J1792" s="614"/>
      <c r="K1792" s="613"/>
      <c r="L1792" s="612"/>
      <c r="M1792" s="614"/>
      <c r="N1792" s="550"/>
      <c r="O1792" s="551"/>
    </row>
    <row r="1793" spans="1:15" s="23" customFormat="1" ht="14.25" x14ac:dyDescent="0.2">
      <c r="A1793" s="543"/>
      <c r="B1793" s="544" t="s">
        <v>1121</v>
      </c>
      <c r="C1793" s="513">
        <v>20083</v>
      </c>
      <c r="D1793" s="545" t="s">
        <v>1371</v>
      </c>
      <c r="E1793" s="514" t="s">
        <v>684</v>
      </c>
      <c r="F1793" s="546">
        <v>8.6999999999999994E-3</v>
      </c>
      <c r="G1793" s="612">
        <v>40.840000000000003</v>
      </c>
      <c r="H1793" s="613">
        <f t="shared" si="252"/>
        <v>0.35530800000000001</v>
      </c>
      <c r="I1793" s="612"/>
      <c r="J1793" s="614"/>
      <c r="K1793" s="613"/>
      <c r="L1793" s="612"/>
      <c r="M1793" s="614"/>
      <c r="N1793" s="550"/>
      <c r="O1793" s="551"/>
    </row>
    <row r="1794" spans="1:15" s="23" customFormat="1" ht="14.25" x14ac:dyDescent="0.2">
      <c r="A1794" s="134"/>
      <c r="B1794" s="129"/>
      <c r="C1794" s="29"/>
      <c r="D1794" s="117"/>
      <c r="E1794" s="30"/>
      <c r="F1794" s="476"/>
      <c r="G1794" s="477"/>
      <c r="H1794" s="478"/>
      <c r="I1794" s="735"/>
      <c r="J1794" s="480"/>
      <c r="K1794" s="478"/>
      <c r="L1794" s="479"/>
      <c r="M1794" s="480"/>
      <c r="N1794" s="92"/>
      <c r="O1794" s="92"/>
    </row>
    <row r="1795" spans="1:15" s="23" customFormat="1" ht="22.5" x14ac:dyDescent="0.2">
      <c r="A1795" s="223" t="s">
        <v>78</v>
      </c>
      <c r="B1795" s="224" t="s">
        <v>1373</v>
      </c>
      <c r="C1795" s="225" t="s">
        <v>1092</v>
      </c>
      <c r="D1795" s="232" t="s">
        <v>1424</v>
      </c>
      <c r="E1795" s="225" t="s">
        <v>1097</v>
      </c>
      <c r="F1795" s="609">
        <v>10</v>
      </c>
      <c r="G1795" s="474"/>
      <c r="H1795" s="610">
        <f>ROUND(SUM(H1796:H1800),2)</f>
        <v>35.94</v>
      </c>
      <c r="I1795" s="610">
        <f>ROUND(SUM(I1796:I1800),2)</f>
        <v>23.42</v>
      </c>
      <c r="J1795" s="611">
        <f>(H1795+I1795)</f>
        <v>59.36</v>
      </c>
      <c r="K1795" s="610">
        <f>F1795*H1795</f>
        <v>359.4</v>
      </c>
      <c r="L1795" s="475">
        <f>F1795*I1795</f>
        <v>234.20000000000002</v>
      </c>
      <c r="M1795" s="611">
        <f>K1795+L1795</f>
        <v>593.6</v>
      </c>
      <c r="N1795" s="473">
        <f>M1795*$N$7</f>
        <v>160.74688</v>
      </c>
      <c r="O1795" s="473">
        <f>M1795+N1795</f>
        <v>754.34688000000006</v>
      </c>
    </row>
    <row r="1796" spans="1:15" s="23" customFormat="1" ht="14.25" x14ac:dyDescent="0.2">
      <c r="A1796" s="543"/>
      <c r="B1796" s="544" t="s">
        <v>658</v>
      </c>
      <c r="C1796" s="513">
        <v>6111</v>
      </c>
      <c r="D1796" s="545" t="s">
        <v>670</v>
      </c>
      <c r="E1796" s="514" t="s">
        <v>91</v>
      </c>
      <c r="F1796" s="546">
        <v>1.0900000000000001</v>
      </c>
      <c r="G1796" s="612">
        <v>8.92</v>
      </c>
      <c r="H1796" s="613">
        <f>F1796*G1796</f>
        <v>9.7228000000000012</v>
      </c>
      <c r="I1796" s="612">
        <f>F1796*G1796</f>
        <v>9.7228000000000012</v>
      </c>
      <c r="J1796" s="614"/>
      <c r="K1796" s="613"/>
      <c r="L1796" s="612"/>
      <c r="M1796" s="614"/>
      <c r="N1796" s="550"/>
      <c r="O1796" s="551"/>
    </row>
    <row r="1797" spans="1:15" s="552" customFormat="1" ht="18.75" customHeight="1" x14ac:dyDescent="0.25">
      <c r="A1797" s="543"/>
      <c r="B1797" s="544" t="s">
        <v>658</v>
      </c>
      <c r="C1797" s="513">
        <v>2696</v>
      </c>
      <c r="D1797" s="545" t="s">
        <v>765</v>
      </c>
      <c r="E1797" s="514" t="s">
        <v>42</v>
      </c>
      <c r="F1797" s="546">
        <v>1.0900000000000001</v>
      </c>
      <c r="G1797" s="547">
        <v>12.57</v>
      </c>
      <c r="H1797" s="613">
        <f>F1797*G1797</f>
        <v>13.701300000000002</v>
      </c>
      <c r="I1797" s="547">
        <f>F1797*G1797</f>
        <v>13.701300000000002</v>
      </c>
      <c r="J1797" s="549"/>
      <c r="K1797" s="548"/>
      <c r="L1797" s="547"/>
      <c r="M1797" s="549"/>
      <c r="N1797" s="550"/>
      <c r="O1797" s="551"/>
    </row>
    <row r="1798" spans="1:15" s="23" customFormat="1" ht="14.25" x14ac:dyDescent="0.2">
      <c r="A1798" s="543"/>
      <c r="B1798" s="544" t="s">
        <v>658</v>
      </c>
      <c r="C1798" s="513">
        <v>122</v>
      </c>
      <c r="D1798" s="545" t="s">
        <v>1369</v>
      </c>
      <c r="E1798" s="514" t="s">
        <v>81</v>
      </c>
      <c r="F1798" s="546">
        <v>8.3000000000000001E-3</v>
      </c>
      <c r="G1798" s="612">
        <v>34.479999999999997</v>
      </c>
      <c r="H1798" s="613">
        <f t="shared" ref="H1798:H1800" si="253">F1798*G1798</f>
        <v>0.28618399999999999</v>
      </c>
      <c r="I1798" s="612"/>
      <c r="J1798" s="614"/>
      <c r="K1798" s="613"/>
      <c r="L1798" s="612"/>
      <c r="M1798" s="614"/>
      <c r="N1798" s="550"/>
      <c r="O1798" s="551"/>
    </row>
    <row r="1799" spans="1:15" s="23" customFormat="1" ht="14.25" x14ac:dyDescent="0.2">
      <c r="A1799" s="543"/>
      <c r="B1799" s="544" t="s">
        <v>715</v>
      </c>
      <c r="C1799" s="513">
        <v>9836</v>
      </c>
      <c r="D1799" s="545" t="s">
        <v>1374</v>
      </c>
      <c r="E1799" s="514" t="s">
        <v>1097</v>
      </c>
      <c r="F1799" s="546">
        <v>1.3</v>
      </c>
      <c r="G1799" s="612">
        <v>9</v>
      </c>
      <c r="H1799" s="613">
        <f t="shared" si="253"/>
        <v>11.700000000000001</v>
      </c>
      <c r="I1799" s="612"/>
      <c r="J1799" s="614"/>
      <c r="K1799" s="613"/>
      <c r="L1799" s="612"/>
      <c r="M1799" s="614"/>
      <c r="N1799" s="550"/>
      <c r="O1799" s="551"/>
    </row>
    <row r="1800" spans="1:15" s="23" customFormat="1" ht="14.25" x14ac:dyDescent="0.2">
      <c r="A1800" s="543"/>
      <c r="B1800" s="544" t="s">
        <v>1121</v>
      </c>
      <c r="C1800" s="513">
        <v>20083</v>
      </c>
      <c r="D1800" s="545" t="s">
        <v>1371</v>
      </c>
      <c r="E1800" s="514" t="s">
        <v>684</v>
      </c>
      <c r="F1800" s="546">
        <v>1.2999999999999999E-2</v>
      </c>
      <c r="G1800" s="612">
        <v>40.840000000000003</v>
      </c>
      <c r="H1800" s="613">
        <f t="shared" si="253"/>
        <v>0.53092000000000006</v>
      </c>
      <c r="I1800" s="612"/>
      <c r="J1800" s="614"/>
      <c r="K1800" s="613"/>
      <c r="L1800" s="612"/>
      <c r="M1800" s="614"/>
      <c r="N1800" s="550"/>
      <c r="O1800" s="551"/>
    </row>
    <row r="1801" spans="1:15" s="23" customFormat="1" ht="14.25" x14ac:dyDescent="0.2">
      <c r="A1801" s="134"/>
      <c r="B1801" s="129"/>
      <c r="C1801" s="29"/>
      <c r="D1801" s="117"/>
      <c r="E1801" s="30"/>
      <c r="F1801" s="476"/>
      <c r="G1801" s="477"/>
      <c r="H1801" s="478"/>
      <c r="I1801" s="735"/>
      <c r="J1801" s="480"/>
      <c r="K1801" s="478"/>
      <c r="L1801" s="479"/>
      <c r="M1801" s="480"/>
      <c r="N1801" s="92"/>
      <c r="O1801" s="92"/>
    </row>
    <row r="1802" spans="1:15" s="23" customFormat="1" ht="22.5" x14ac:dyDescent="0.2">
      <c r="A1802" s="223" t="s">
        <v>78</v>
      </c>
      <c r="B1802" s="224" t="s">
        <v>1375</v>
      </c>
      <c r="C1802" s="225" t="s">
        <v>1092</v>
      </c>
      <c r="D1802" s="232" t="s">
        <v>1376</v>
      </c>
      <c r="E1802" s="225" t="s">
        <v>1097</v>
      </c>
      <c r="F1802" s="609">
        <v>2</v>
      </c>
      <c r="G1802" s="474"/>
      <c r="H1802" s="610">
        <f>ROUND(SUM(H1803:H1806),2)</f>
        <v>689.55</v>
      </c>
      <c r="I1802" s="610">
        <f>ROUND(SUM(I1803:I1806),2)</f>
        <v>21.49</v>
      </c>
      <c r="J1802" s="611">
        <f>(H1802+I1802)</f>
        <v>711.04</v>
      </c>
      <c r="K1802" s="610">
        <f>F1802*H1802</f>
        <v>1379.1</v>
      </c>
      <c r="L1802" s="475">
        <f>F1802*I1802</f>
        <v>42.98</v>
      </c>
      <c r="M1802" s="611">
        <f>K1802+L1802</f>
        <v>1422.08</v>
      </c>
      <c r="N1802" s="473">
        <f>M1802*$N$7</f>
        <v>385.09926399999995</v>
      </c>
      <c r="O1802" s="473">
        <f>M1802+N1802</f>
        <v>1807.1792639999999</v>
      </c>
    </row>
    <row r="1803" spans="1:15" s="23" customFormat="1" ht="14.25" x14ac:dyDescent="0.2">
      <c r="A1803" s="543"/>
      <c r="B1803" s="544" t="s">
        <v>658</v>
      </c>
      <c r="C1803" s="513">
        <v>6111</v>
      </c>
      <c r="D1803" s="545" t="s">
        <v>670</v>
      </c>
      <c r="E1803" s="514" t="s">
        <v>91</v>
      </c>
      <c r="F1803" s="546">
        <v>1</v>
      </c>
      <c r="G1803" s="612">
        <v>8.92</v>
      </c>
      <c r="H1803" s="613">
        <f>F1803*G1803</f>
        <v>8.92</v>
      </c>
      <c r="I1803" s="612">
        <f>F1803*G1803</f>
        <v>8.92</v>
      </c>
      <c r="J1803" s="614"/>
      <c r="K1803" s="613"/>
      <c r="L1803" s="612"/>
      <c r="M1803" s="614"/>
      <c r="N1803" s="550"/>
      <c r="O1803" s="551"/>
    </row>
    <row r="1804" spans="1:15" s="552" customFormat="1" ht="18.75" customHeight="1" x14ac:dyDescent="0.25">
      <c r="A1804" s="543"/>
      <c r="B1804" s="544" t="s">
        <v>658</v>
      </c>
      <c r="C1804" s="513">
        <v>2696</v>
      </c>
      <c r="D1804" s="545" t="s">
        <v>765</v>
      </c>
      <c r="E1804" s="514" t="s">
        <v>42</v>
      </c>
      <c r="F1804" s="546">
        <v>1</v>
      </c>
      <c r="G1804" s="547">
        <v>12.57</v>
      </c>
      <c r="H1804" s="613">
        <f>F1804*G1804</f>
        <v>12.57</v>
      </c>
      <c r="I1804" s="547">
        <f>F1804*G1804</f>
        <v>12.57</v>
      </c>
      <c r="J1804" s="549"/>
      <c r="K1804" s="548"/>
      <c r="L1804" s="547"/>
      <c r="M1804" s="549"/>
      <c r="N1804" s="550"/>
      <c r="O1804" s="551"/>
    </row>
    <row r="1805" spans="1:15" s="23" customFormat="1" ht="14.25" x14ac:dyDescent="0.2">
      <c r="A1805" s="543"/>
      <c r="B1805" s="544" t="s">
        <v>658</v>
      </c>
      <c r="C1805" s="513">
        <v>14</v>
      </c>
      <c r="D1805" s="545" t="s">
        <v>1377</v>
      </c>
      <c r="E1805" s="514" t="s">
        <v>48</v>
      </c>
      <c r="F1805" s="546">
        <v>0.1</v>
      </c>
      <c r="G1805" s="612">
        <v>5.49</v>
      </c>
      <c r="H1805" s="613">
        <f t="shared" ref="H1805:H1806" si="254">F1805*G1805</f>
        <v>0.54900000000000004</v>
      </c>
      <c r="I1805" s="612"/>
      <c r="J1805" s="614"/>
      <c r="K1805" s="613"/>
      <c r="L1805" s="612"/>
      <c r="M1805" s="614"/>
      <c r="N1805" s="550"/>
      <c r="O1805" s="551"/>
    </row>
    <row r="1806" spans="1:15" s="23" customFormat="1" ht="16.5" x14ac:dyDescent="0.2">
      <c r="A1806" s="543"/>
      <c r="B1806" s="544" t="s">
        <v>715</v>
      </c>
      <c r="C1806" s="513">
        <v>10407</v>
      </c>
      <c r="D1806" s="545" t="s">
        <v>1378</v>
      </c>
      <c r="E1806" s="514" t="s">
        <v>41</v>
      </c>
      <c r="F1806" s="546">
        <v>1</v>
      </c>
      <c r="G1806" s="612">
        <v>667.51</v>
      </c>
      <c r="H1806" s="613">
        <f t="shared" si="254"/>
        <v>667.51</v>
      </c>
      <c r="I1806" s="612"/>
      <c r="J1806" s="614"/>
      <c r="K1806" s="613"/>
      <c r="L1806" s="612"/>
      <c r="M1806" s="614"/>
      <c r="N1806" s="550"/>
      <c r="O1806" s="551"/>
    </row>
    <row r="1807" spans="1:15" s="23" customFormat="1" ht="14.25" x14ac:dyDescent="0.2">
      <c r="A1807" s="134"/>
      <c r="B1807" s="129"/>
      <c r="C1807" s="29"/>
      <c r="D1807" s="117"/>
      <c r="E1807" s="30"/>
      <c r="F1807" s="476"/>
      <c r="G1807" s="477"/>
      <c r="H1807" s="478"/>
      <c r="I1807" s="735"/>
      <c r="J1807" s="480"/>
      <c r="K1807" s="478"/>
      <c r="L1807" s="479"/>
      <c r="M1807" s="480"/>
      <c r="N1807" s="92"/>
      <c r="O1807" s="92"/>
    </row>
    <row r="1808" spans="1:15" s="23" customFormat="1" ht="14.25" x14ac:dyDescent="0.2">
      <c r="A1808" s="134"/>
      <c r="B1808" s="129"/>
      <c r="C1808" s="29"/>
      <c r="D1808" s="736" t="s">
        <v>1379</v>
      </c>
      <c r="E1808" s="30"/>
      <c r="F1808" s="476"/>
      <c r="G1808" s="477"/>
      <c r="H1808" s="478"/>
      <c r="I1808" s="735"/>
      <c r="J1808" s="480"/>
      <c r="K1808" s="478"/>
      <c r="L1808" s="479"/>
      <c r="M1808" s="480"/>
      <c r="N1808" s="93"/>
      <c r="O1808" s="93"/>
    </row>
    <row r="1809" spans="1:15" s="23" customFormat="1" ht="22.5" x14ac:dyDescent="0.2">
      <c r="A1809" s="223" t="s">
        <v>78</v>
      </c>
      <c r="B1809" s="224" t="s">
        <v>1380</v>
      </c>
      <c r="C1809" s="225" t="s">
        <v>1092</v>
      </c>
      <c r="D1809" s="232" t="s">
        <v>1381</v>
      </c>
      <c r="E1809" s="225" t="s">
        <v>1097</v>
      </c>
      <c r="F1809" s="609">
        <v>2</v>
      </c>
      <c r="G1809" s="474"/>
      <c r="H1809" s="610">
        <f>ROUND(SUM(H1810:H1813),2)</f>
        <v>83.06</v>
      </c>
      <c r="I1809" s="610">
        <f>ROUND(SUM(I1810:I1813),2)</f>
        <v>34.380000000000003</v>
      </c>
      <c r="J1809" s="611">
        <f>(H1809+I1809)</f>
        <v>117.44</v>
      </c>
      <c r="K1809" s="610">
        <f>F1809*H1809</f>
        <v>166.12</v>
      </c>
      <c r="L1809" s="475">
        <f>F1809*I1809</f>
        <v>68.760000000000005</v>
      </c>
      <c r="M1809" s="611">
        <f>K1809+L1809</f>
        <v>234.88</v>
      </c>
      <c r="N1809" s="473">
        <f>M1809*$N$7</f>
        <v>63.605503999999996</v>
      </c>
      <c r="O1809" s="473">
        <f>M1809+N1809</f>
        <v>298.48550399999999</v>
      </c>
    </row>
    <row r="1810" spans="1:15" s="23" customFormat="1" ht="14.25" x14ac:dyDescent="0.2">
      <c r="A1810" s="543"/>
      <c r="B1810" s="544" t="s">
        <v>658</v>
      </c>
      <c r="C1810" s="513">
        <v>6111</v>
      </c>
      <c r="D1810" s="545" t="s">
        <v>670</v>
      </c>
      <c r="E1810" s="514" t="s">
        <v>91</v>
      </c>
      <c r="F1810" s="546">
        <v>1.6</v>
      </c>
      <c r="G1810" s="612">
        <v>8.92</v>
      </c>
      <c r="H1810" s="613">
        <f>F1810*G1810</f>
        <v>14.272</v>
      </c>
      <c r="I1810" s="612">
        <f>F1810*G1810</f>
        <v>14.272</v>
      </c>
      <c r="J1810" s="614"/>
      <c r="K1810" s="613"/>
      <c r="L1810" s="612"/>
      <c r="M1810" s="614"/>
      <c r="N1810" s="550"/>
      <c r="O1810" s="551"/>
    </row>
    <row r="1811" spans="1:15" s="552" customFormat="1" ht="18.75" customHeight="1" x14ac:dyDescent="0.25">
      <c r="A1811" s="543"/>
      <c r="B1811" s="544" t="s">
        <v>658</v>
      </c>
      <c r="C1811" s="513">
        <v>2696</v>
      </c>
      <c r="D1811" s="545" t="s">
        <v>765</v>
      </c>
      <c r="E1811" s="514" t="s">
        <v>42</v>
      </c>
      <c r="F1811" s="546">
        <v>1.6</v>
      </c>
      <c r="G1811" s="547">
        <v>12.57</v>
      </c>
      <c r="H1811" s="613">
        <f>F1811*G1811</f>
        <v>20.112000000000002</v>
      </c>
      <c r="I1811" s="547">
        <f>F1811*G1811</f>
        <v>20.112000000000002</v>
      </c>
      <c r="J1811" s="549"/>
      <c r="K1811" s="548"/>
      <c r="L1811" s="547"/>
      <c r="M1811" s="549"/>
      <c r="N1811" s="550"/>
      <c r="O1811" s="551"/>
    </row>
    <row r="1812" spans="1:15" s="23" customFormat="1" ht="14.25" x14ac:dyDescent="0.2">
      <c r="A1812" s="543"/>
      <c r="B1812" s="544" t="s">
        <v>658</v>
      </c>
      <c r="C1812" s="513">
        <v>3146</v>
      </c>
      <c r="D1812" s="545" t="s">
        <v>1382</v>
      </c>
      <c r="E1812" s="514" t="s">
        <v>1097</v>
      </c>
      <c r="F1812" s="546">
        <v>0.113</v>
      </c>
      <c r="G1812" s="612">
        <v>2.0699999999999998</v>
      </c>
      <c r="H1812" s="613">
        <f t="shared" ref="H1812:H1813" si="255">F1812*G1812</f>
        <v>0.23390999999999998</v>
      </c>
      <c r="I1812" s="612"/>
      <c r="J1812" s="614"/>
      <c r="K1812" s="613"/>
      <c r="L1812" s="612"/>
      <c r="M1812" s="614"/>
      <c r="N1812" s="550"/>
      <c r="O1812" s="551"/>
    </row>
    <row r="1813" spans="1:15" s="23" customFormat="1" ht="24" customHeight="1" x14ac:dyDescent="0.2">
      <c r="A1813" s="543"/>
      <c r="B1813" s="544" t="s">
        <v>715</v>
      </c>
      <c r="C1813" s="513">
        <v>7696</v>
      </c>
      <c r="D1813" s="545" t="s">
        <v>1383</v>
      </c>
      <c r="E1813" s="514" t="s">
        <v>1384</v>
      </c>
      <c r="F1813" s="546">
        <v>1.4</v>
      </c>
      <c r="G1813" s="612">
        <v>34.6</v>
      </c>
      <c r="H1813" s="613">
        <f t="shared" si="255"/>
        <v>48.44</v>
      </c>
      <c r="I1813" s="612"/>
      <c r="J1813" s="614"/>
      <c r="K1813" s="613"/>
      <c r="L1813" s="612"/>
      <c r="M1813" s="614"/>
      <c r="N1813" s="550"/>
      <c r="O1813" s="551"/>
    </row>
    <row r="1814" spans="1:15" s="23" customFormat="1" ht="14.25" x14ac:dyDescent="0.2">
      <c r="A1814" s="134"/>
      <c r="B1814" s="129"/>
      <c r="C1814" s="29"/>
      <c r="D1814" s="117"/>
      <c r="E1814" s="30"/>
      <c r="F1814" s="476"/>
      <c r="G1814" s="477"/>
      <c r="H1814" s="478"/>
      <c r="I1814" s="735"/>
      <c r="J1814" s="480"/>
      <c r="K1814" s="478"/>
      <c r="L1814" s="479"/>
      <c r="M1814" s="480"/>
      <c r="N1814" s="92"/>
      <c r="O1814" s="92"/>
    </row>
    <row r="1815" spans="1:15" s="23" customFormat="1" ht="14.25" x14ac:dyDescent="0.2">
      <c r="A1815" s="223" t="s">
        <v>78</v>
      </c>
      <c r="B1815" s="224">
        <v>72303</v>
      </c>
      <c r="C1815" s="225" t="s">
        <v>1092</v>
      </c>
      <c r="D1815" s="232" t="s">
        <v>1385</v>
      </c>
      <c r="E1815" s="225" t="s">
        <v>1097</v>
      </c>
      <c r="F1815" s="609">
        <v>3</v>
      </c>
      <c r="G1815" s="474"/>
      <c r="H1815" s="610">
        <f>ROUND(SUM(H1816:H1818),2)</f>
        <v>42.26</v>
      </c>
      <c r="I1815" s="610">
        <f>ROUND(SUM(I1816:I1818),2)</f>
        <v>15.04</v>
      </c>
      <c r="J1815" s="611">
        <f>(H1815+I1815)</f>
        <v>57.3</v>
      </c>
      <c r="K1815" s="610">
        <f>F1815*H1815</f>
        <v>126.78</v>
      </c>
      <c r="L1815" s="475">
        <f>F1815*I1815</f>
        <v>45.12</v>
      </c>
      <c r="M1815" s="611">
        <f>K1815+L1815</f>
        <v>171.9</v>
      </c>
      <c r="N1815" s="473">
        <f>M1815*$N$7</f>
        <v>46.550519999999999</v>
      </c>
      <c r="O1815" s="473">
        <f>M1815+N1815</f>
        <v>218.45052000000001</v>
      </c>
    </row>
    <row r="1816" spans="1:15" s="23" customFormat="1" ht="14.25" x14ac:dyDescent="0.2">
      <c r="A1816" s="543"/>
      <c r="B1816" s="544" t="s">
        <v>658</v>
      </c>
      <c r="C1816" s="513">
        <v>6111</v>
      </c>
      <c r="D1816" s="545" t="s">
        <v>670</v>
      </c>
      <c r="E1816" s="514" t="s">
        <v>91</v>
      </c>
      <c r="F1816" s="546">
        <v>0.7</v>
      </c>
      <c r="G1816" s="612">
        <v>8.92</v>
      </c>
      <c r="H1816" s="613">
        <f>F1816*G1816</f>
        <v>6.2439999999999998</v>
      </c>
      <c r="I1816" s="612">
        <f>F1816*G1816</f>
        <v>6.2439999999999998</v>
      </c>
      <c r="J1816" s="614"/>
      <c r="K1816" s="613"/>
      <c r="L1816" s="612"/>
      <c r="M1816" s="614"/>
      <c r="N1816" s="550"/>
      <c r="O1816" s="551"/>
    </row>
    <row r="1817" spans="1:15" s="552" customFormat="1" ht="18.75" customHeight="1" x14ac:dyDescent="0.25">
      <c r="A1817" s="543"/>
      <c r="B1817" s="544" t="s">
        <v>658</v>
      </c>
      <c r="C1817" s="513">
        <v>2696</v>
      </c>
      <c r="D1817" s="545" t="s">
        <v>765</v>
      </c>
      <c r="E1817" s="514" t="s">
        <v>42</v>
      </c>
      <c r="F1817" s="546">
        <v>0.7</v>
      </c>
      <c r="G1817" s="547">
        <v>12.57</v>
      </c>
      <c r="H1817" s="613">
        <f>F1817*G1817</f>
        <v>8.7989999999999995</v>
      </c>
      <c r="I1817" s="547">
        <f>F1817*G1817</f>
        <v>8.7989999999999995</v>
      </c>
      <c r="J1817" s="549"/>
      <c r="K1817" s="548"/>
      <c r="L1817" s="547"/>
      <c r="M1817" s="549"/>
      <c r="N1817" s="550"/>
      <c r="O1817" s="551"/>
    </row>
    <row r="1818" spans="1:15" s="23" customFormat="1" ht="24" customHeight="1" x14ac:dyDescent="0.2">
      <c r="A1818" s="543"/>
      <c r="B1818" s="544" t="s">
        <v>715</v>
      </c>
      <c r="C1818" s="513">
        <v>3471</v>
      </c>
      <c r="D1818" s="545" t="s">
        <v>1386</v>
      </c>
      <c r="E1818" s="514" t="s">
        <v>1384</v>
      </c>
      <c r="F1818" s="546">
        <v>1</v>
      </c>
      <c r="G1818" s="612">
        <v>27.22</v>
      </c>
      <c r="H1818" s="613">
        <f t="shared" ref="H1818" si="256">F1818*G1818</f>
        <v>27.22</v>
      </c>
      <c r="I1818" s="612"/>
      <c r="J1818" s="614"/>
      <c r="K1818" s="613"/>
      <c r="L1818" s="612"/>
      <c r="M1818" s="614"/>
      <c r="N1818" s="550"/>
      <c r="O1818" s="551"/>
    </row>
    <row r="1819" spans="1:15" s="23" customFormat="1" ht="14.25" x14ac:dyDescent="0.2">
      <c r="A1819" s="134"/>
      <c r="B1819" s="129"/>
      <c r="C1819" s="29"/>
      <c r="D1819" s="117"/>
      <c r="E1819" s="30"/>
      <c r="F1819" s="476"/>
      <c r="G1819" s="477"/>
      <c r="H1819" s="478"/>
      <c r="I1819" s="735"/>
      <c r="J1819" s="480"/>
      <c r="K1819" s="478"/>
      <c r="L1819" s="479"/>
      <c r="M1819" s="480"/>
      <c r="N1819" s="92"/>
      <c r="O1819" s="92"/>
    </row>
    <row r="1820" spans="1:15" s="23" customFormat="1" ht="14.25" x14ac:dyDescent="0.2">
      <c r="A1820" s="223" t="s">
        <v>78</v>
      </c>
      <c r="B1820" s="224">
        <v>72479</v>
      </c>
      <c r="C1820" s="225" t="s">
        <v>1092</v>
      </c>
      <c r="D1820" s="232" t="s">
        <v>1387</v>
      </c>
      <c r="E1820" s="225" t="s">
        <v>1097</v>
      </c>
      <c r="F1820" s="609">
        <v>2</v>
      </c>
      <c r="G1820" s="474"/>
      <c r="H1820" s="610">
        <f>ROUND(SUM(H1821:H1824),2)</f>
        <v>69.95</v>
      </c>
      <c r="I1820" s="610">
        <f>ROUND(SUM(I1821:I1824),2)</f>
        <v>10.75</v>
      </c>
      <c r="J1820" s="611">
        <f>(H1820+I1820)</f>
        <v>80.7</v>
      </c>
      <c r="K1820" s="610">
        <f>F1820*H1820</f>
        <v>139.9</v>
      </c>
      <c r="L1820" s="475">
        <f>F1820*I1820</f>
        <v>21.5</v>
      </c>
      <c r="M1820" s="611">
        <f>K1820+L1820</f>
        <v>161.4</v>
      </c>
      <c r="N1820" s="473">
        <f>M1820*$N$7</f>
        <v>43.707119999999996</v>
      </c>
      <c r="O1820" s="473">
        <f>M1820+N1820</f>
        <v>205.10712000000001</v>
      </c>
    </row>
    <row r="1821" spans="1:15" s="23" customFormat="1" ht="14.25" x14ac:dyDescent="0.2">
      <c r="A1821" s="543"/>
      <c r="B1821" s="544" t="s">
        <v>658</v>
      </c>
      <c r="C1821" s="513">
        <v>6111</v>
      </c>
      <c r="D1821" s="545" t="s">
        <v>670</v>
      </c>
      <c r="E1821" s="514" t="s">
        <v>91</v>
      </c>
      <c r="F1821" s="546">
        <v>0.5</v>
      </c>
      <c r="G1821" s="612">
        <v>8.92</v>
      </c>
      <c r="H1821" s="613">
        <f>F1821*G1821</f>
        <v>4.46</v>
      </c>
      <c r="I1821" s="612">
        <f>F1821*G1821</f>
        <v>4.46</v>
      </c>
      <c r="J1821" s="614"/>
      <c r="K1821" s="613"/>
      <c r="L1821" s="612"/>
      <c r="M1821" s="614"/>
      <c r="N1821" s="550"/>
      <c r="O1821" s="551"/>
    </row>
    <row r="1822" spans="1:15" s="552" customFormat="1" ht="18.75" customHeight="1" x14ac:dyDescent="0.25">
      <c r="A1822" s="543"/>
      <c r="B1822" s="544" t="s">
        <v>658</v>
      </c>
      <c r="C1822" s="513">
        <v>2696</v>
      </c>
      <c r="D1822" s="545" t="s">
        <v>765</v>
      </c>
      <c r="E1822" s="514" t="s">
        <v>42</v>
      </c>
      <c r="F1822" s="546">
        <v>0.5</v>
      </c>
      <c r="G1822" s="547">
        <v>12.57</v>
      </c>
      <c r="H1822" s="613">
        <f>F1822*G1822</f>
        <v>6.2850000000000001</v>
      </c>
      <c r="I1822" s="547">
        <f>F1822*G1822</f>
        <v>6.2850000000000001</v>
      </c>
      <c r="J1822" s="549"/>
      <c r="K1822" s="548"/>
      <c r="L1822" s="547"/>
      <c r="M1822" s="549"/>
      <c r="N1822" s="550"/>
      <c r="O1822" s="551"/>
    </row>
    <row r="1823" spans="1:15" s="23" customFormat="1" ht="14.25" x14ac:dyDescent="0.2">
      <c r="A1823" s="543"/>
      <c r="B1823" s="544" t="s">
        <v>658</v>
      </c>
      <c r="C1823" s="513">
        <v>3146</v>
      </c>
      <c r="D1823" s="545" t="s">
        <v>1382</v>
      </c>
      <c r="E1823" s="514" t="s">
        <v>1097</v>
      </c>
      <c r="F1823" s="546">
        <v>7.5999999999999998E-2</v>
      </c>
      <c r="G1823" s="612">
        <v>2.0699999999999998</v>
      </c>
      <c r="H1823" s="613">
        <f t="shared" ref="H1823" si="257">F1823*G1823</f>
        <v>0.15731999999999999</v>
      </c>
      <c r="I1823" s="612"/>
      <c r="J1823" s="614"/>
      <c r="K1823" s="613"/>
      <c r="L1823" s="612"/>
      <c r="M1823" s="614"/>
      <c r="N1823" s="550"/>
      <c r="O1823" s="551"/>
    </row>
    <row r="1824" spans="1:15" s="23" customFormat="1" ht="24" customHeight="1" x14ac:dyDescent="0.2">
      <c r="A1824" s="543"/>
      <c r="B1824" s="544" t="s">
        <v>715</v>
      </c>
      <c r="C1824" s="513">
        <v>9887</v>
      </c>
      <c r="D1824" s="545" t="s">
        <v>1388</v>
      </c>
      <c r="E1824" s="514" t="s">
        <v>1384</v>
      </c>
      <c r="F1824" s="546">
        <v>1</v>
      </c>
      <c r="G1824" s="612">
        <v>59.05</v>
      </c>
      <c r="H1824" s="613">
        <f t="shared" ref="H1824" si="258">F1824*G1824</f>
        <v>59.05</v>
      </c>
      <c r="I1824" s="612"/>
      <c r="J1824" s="614"/>
      <c r="K1824" s="613"/>
      <c r="L1824" s="612"/>
      <c r="M1824" s="614"/>
      <c r="N1824" s="550"/>
      <c r="O1824" s="551"/>
    </row>
    <row r="1825" spans="1:15" s="23" customFormat="1" ht="14.25" x14ac:dyDescent="0.2">
      <c r="A1825" s="134"/>
      <c r="B1825" s="129"/>
      <c r="C1825" s="29"/>
      <c r="D1825" s="117"/>
      <c r="E1825" s="30"/>
      <c r="F1825" s="476"/>
      <c r="G1825" s="477"/>
      <c r="H1825" s="478"/>
      <c r="I1825" s="735"/>
      <c r="J1825" s="480"/>
      <c r="K1825" s="478"/>
      <c r="L1825" s="479"/>
      <c r="M1825" s="480"/>
      <c r="N1825" s="92"/>
      <c r="O1825" s="92"/>
    </row>
    <row r="1826" spans="1:15" s="23" customFormat="1" ht="14.25" x14ac:dyDescent="0.2">
      <c r="A1826" s="223" t="s">
        <v>78</v>
      </c>
      <c r="B1826" s="224">
        <v>72678</v>
      </c>
      <c r="C1826" s="225" t="s">
        <v>1092</v>
      </c>
      <c r="D1826" s="232" t="s">
        <v>1389</v>
      </c>
      <c r="E1826" s="225" t="s">
        <v>1097</v>
      </c>
      <c r="F1826" s="609">
        <v>4</v>
      </c>
      <c r="G1826" s="474"/>
      <c r="H1826" s="610">
        <f>ROUND(SUM(H1827:H1829),2)</f>
        <v>28.37</v>
      </c>
      <c r="I1826" s="610">
        <f>ROUND(SUM(I1827:I1829),2)</f>
        <v>8.17</v>
      </c>
      <c r="J1826" s="611">
        <f>(H1826+I1826)</f>
        <v>36.54</v>
      </c>
      <c r="K1826" s="610">
        <f>F1826*H1826</f>
        <v>113.48</v>
      </c>
      <c r="L1826" s="475">
        <f>F1826*I1826</f>
        <v>32.68</v>
      </c>
      <c r="M1826" s="611">
        <f>K1826+L1826</f>
        <v>146.16</v>
      </c>
      <c r="N1826" s="473">
        <f>M1826*$N$7</f>
        <v>39.580127999999995</v>
      </c>
      <c r="O1826" s="473">
        <f>M1826+N1826</f>
        <v>185.740128</v>
      </c>
    </row>
    <row r="1827" spans="1:15" s="23" customFormat="1" ht="14.25" x14ac:dyDescent="0.2">
      <c r="A1827" s="543"/>
      <c r="B1827" s="544" t="s">
        <v>658</v>
      </c>
      <c r="C1827" s="513">
        <v>6111</v>
      </c>
      <c r="D1827" s="545" t="s">
        <v>670</v>
      </c>
      <c r="E1827" s="514" t="s">
        <v>91</v>
      </c>
      <c r="F1827" s="546">
        <v>0.38</v>
      </c>
      <c r="G1827" s="612">
        <v>8.92</v>
      </c>
      <c r="H1827" s="613">
        <f>F1827*G1827</f>
        <v>3.3896000000000002</v>
      </c>
      <c r="I1827" s="612">
        <f>F1827*G1827</f>
        <v>3.3896000000000002</v>
      </c>
      <c r="J1827" s="614"/>
      <c r="K1827" s="613"/>
      <c r="L1827" s="612"/>
      <c r="M1827" s="614"/>
      <c r="N1827" s="550"/>
      <c r="O1827" s="551"/>
    </row>
    <row r="1828" spans="1:15" s="552" customFormat="1" ht="18.75" customHeight="1" x14ac:dyDescent="0.25">
      <c r="A1828" s="543"/>
      <c r="B1828" s="544" t="s">
        <v>658</v>
      </c>
      <c r="C1828" s="513">
        <v>2696</v>
      </c>
      <c r="D1828" s="545" t="s">
        <v>765</v>
      </c>
      <c r="E1828" s="514" t="s">
        <v>42</v>
      </c>
      <c r="F1828" s="546">
        <v>0.38</v>
      </c>
      <c r="G1828" s="547">
        <v>12.57</v>
      </c>
      <c r="H1828" s="613">
        <f>F1828*G1828</f>
        <v>4.7766000000000002</v>
      </c>
      <c r="I1828" s="547">
        <f>F1828*G1828</f>
        <v>4.7766000000000002</v>
      </c>
      <c r="J1828" s="549"/>
      <c r="K1828" s="548"/>
      <c r="L1828" s="547"/>
      <c r="M1828" s="549"/>
      <c r="N1828" s="550"/>
      <c r="O1828" s="551"/>
    </row>
    <row r="1829" spans="1:15" s="23" customFormat="1" ht="24" customHeight="1" x14ac:dyDescent="0.2">
      <c r="A1829" s="543"/>
      <c r="B1829" s="544" t="s">
        <v>715</v>
      </c>
      <c r="C1829" s="513">
        <v>4181</v>
      </c>
      <c r="D1829" s="545" t="s">
        <v>1390</v>
      </c>
      <c r="E1829" s="514" t="s">
        <v>1384</v>
      </c>
      <c r="F1829" s="546">
        <v>1</v>
      </c>
      <c r="G1829" s="612">
        <v>20.2</v>
      </c>
      <c r="H1829" s="613">
        <f t="shared" ref="H1829" si="259">F1829*G1829</f>
        <v>20.2</v>
      </c>
      <c r="I1829" s="612"/>
      <c r="J1829" s="614"/>
      <c r="K1829" s="613"/>
      <c r="L1829" s="612"/>
      <c r="M1829" s="614"/>
      <c r="N1829" s="550"/>
      <c r="O1829" s="551"/>
    </row>
    <row r="1830" spans="1:15" s="23" customFormat="1" ht="14.25" x14ac:dyDescent="0.2">
      <c r="A1830" s="134"/>
      <c r="B1830" s="129"/>
      <c r="C1830" s="29"/>
      <c r="D1830" s="117"/>
      <c r="E1830" s="30"/>
      <c r="F1830" s="476"/>
      <c r="G1830" s="477"/>
      <c r="H1830" s="478"/>
      <c r="I1830" s="735"/>
      <c r="J1830" s="480"/>
      <c r="K1830" s="478"/>
      <c r="L1830" s="479"/>
      <c r="M1830" s="480"/>
      <c r="N1830" s="92"/>
      <c r="O1830" s="92"/>
    </row>
    <row r="1831" spans="1:15" s="23" customFormat="1" ht="14.25" x14ac:dyDescent="0.2">
      <c r="A1831" s="223" t="s">
        <v>78</v>
      </c>
      <c r="B1831" s="224">
        <v>72716</v>
      </c>
      <c r="C1831" s="225" t="s">
        <v>1092</v>
      </c>
      <c r="D1831" s="232" t="s">
        <v>1391</v>
      </c>
      <c r="E1831" s="225" t="s">
        <v>1097</v>
      </c>
      <c r="F1831" s="609">
        <v>1</v>
      </c>
      <c r="G1831" s="474"/>
      <c r="H1831" s="610">
        <f>ROUND(SUM(H1832:H1834),2)</f>
        <v>53.18</v>
      </c>
      <c r="I1831" s="610">
        <f>ROUND(SUM(I1832:I1834),2)</f>
        <v>17.190000000000001</v>
      </c>
      <c r="J1831" s="611">
        <f>(H1831+I1831)</f>
        <v>70.37</v>
      </c>
      <c r="K1831" s="610">
        <f>F1831*H1831</f>
        <v>53.18</v>
      </c>
      <c r="L1831" s="475">
        <f>F1831*I1831</f>
        <v>17.190000000000001</v>
      </c>
      <c r="M1831" s="611">
        <f>K1831+L1831</f>
        <v>70.37</v>
      </c>
      <c r="N1831" s="473">
        <f>M1831*$N$7</f>
        <v>19.056196</v>
      </c>
      <c r="O1831" s="473">
        <f>M1831+N1831</f>
        <v>89.426196000000004</v>
      </c>
    </row>
    <row r="1832" spans="1:15" s="23" customFormat="1" ht="14.25" x14ac:dyDescent="0.2">
      <c r="A1832" s="543"/>
      <c r="B1832" s="544" t="s">
        <v>658</v>
      </c>
      <c r="C1832" s="513">
        <v>6111</v>
      </c>
      <c r="D1832" s="545" t="s">
        <v>670</v>
      </c>
      <c r="E1832" s="514" t="s">
        <v>91</v>
      </c>
      <c r="F1832" s="546">
        <v>0.8</v>
      </c>
      <c r="G1832" s="612">
        <v>8.92</v>
      </c>
      <c r="H1832" s="613">
        <f>F1832*G1832</f>
        <v>7.1360000000000001</v>
      </c>
      <c r="I1832" s="612">
        <f>F1832*G1832</f>
        <v>7.1360000000000001</v>
      </c>
      <c r="J1832" s="614"/>
      <c r="K1832" s="613"/>
      <c r="L1832" s="612"/>
      <c r="M1832" s="614"/>
      <c r="N1832" s="550"/>
      <c r="O1832" s="551"/>
    </row>
    <row r="1833" spans="1:15" s="552" customFormat="1" ht="18.75" customHeight="1" x14ac:dyDescent="0.25">
      <c r="A1833" s="543"/>
      <c r="B1833" s="544" t="s">
        <v>658</v>
      </c>
      <c r="C1833" s="513">
        <v>2696</v>
      </c>
      <c r="D1833" s="545" t="s">
        <v>765</v>
      </c>
      <c r="E1833" s="514" t="s">
        <v>42</v>
      </c>
      <c r="F1833" s="546">
        <v>0.8</v>
      </c>
      <c r="G1833" s="547">
        <v>12.57</v>
      </c>
      <c r="H1833" s="613">
        <f>F1833*G1833</f>
        <v>10.056000000000001</v>
      </c>
      <c r="I1833" s="547">
        <f>F1833*G1833</f>
        <v>10.056000000000001</v>
      </c>
      <c r="J1833" s="549"/>
      <c r="K1833" s="548"/>
      <c r="L1833" s="547"/>
      <c r="M1833" s="549"/>
      <c r="N1833" s="550"/>
      <c r="O1833" s="551"/>
    </row>
    <row r="1834" spans="1:15" s="23" customFormat="1" ht="24" customHeight="1" x14ac:dyDescent="0.2">
      <c r="A1834" s="543"/>
      <c r="B1834" s="544" t="s">
        <v>715</v>
      </c>
      <c r="C1834" s="513">
        <v>6298</v>
      </c>
      <c r="D1834" s="545" t="s">
        <v>1392</v>
      </c>
      <c r="E1834" s="514" t="s">
        <v>1384</v>
      </c>
      <c r="F1834" s="546">
        <v>1</v>
      </c>
      <c r="G1834" s="612">
        <v>35.99</v>
      </c>
      <c r="H1834" s="613">
        <f t="shared" ref="H1834" si="260">F1834*G1834</f>
        <v>35.99</v>
      </c>
      <c r="I1834" s="612"/>
      <c r="J1834" s="614"/>
      <c r="K1834" s="613"/>
      <c r="L1834" s="612"/>
      <c r="M1834" s="614"/>
      <c r="N1834" s="550"/>
      <c r="O1834" s="551"/>
    </row>
    <row r="1835" spans="1:15" s="23" customFormat="1" ht="14.25" x14ac:dyDescent="0.2">
      <c r="A1835" s="134"/>
      <c r="B1835" s="129"/>
      <c r="C1835" s="29"/>
      <c r="D1835" s="117"/>
      <c r="E1835" s="30"/>
      <c r="F1835" s="476"/>
      <c r="G1835" s="477"/>
      <c r="H1835" s="478"/>
      <c r="I1835" s="735"/>
      <c r="J1835" s="480"/>
      <c r="K1835" s="478"/>
      <c r="L1835" s="479"/>
      <c r="M1835" s="480"/>
      <c r="N1835" s="92"/>
      <c r="O1835" s="92"/>
    </row>
    <row r="1836" spans="1:15" s="23" customFormat="1" ht="14.25" x14ac:dyDescent="0.2">
      <c r="A1836" s="223" t="s">
        <v>78</v>
      </c>
      <c r="B1836" s="224" t="s">
        <v>1393</v>
      </c>
      <c r="C1836" s="225" t="s">
        <v>1092</v>
      </c>
      <c r="D1836" s="232" t="s">
        <v>1394</v>
      </c>
      <c r="E1836" s="225" t="s">
        <v>1097</v>
      </c>
      <c r="F1836" s="609">
        <v>1</v>
      </c>
      <c r="G1836" s="474"/>
      <c r="H1836" s="610">
        <f>ROUND(SUM(H1837:H1840),2)</f>
        <v>89.98</v>
      </c>
      <c r="I1836" s="610">
        <f>ROUND(SUM(I1837:I1840),2)</f>
        <v>18.27</v>
      </c>
      <c r="J1836" s="611">
        <f>(H1836+I1836)</f>
        <v>108.25</v>
      </c>
      <c r="K1836" s="610">
        <f>F1836*H1836</f>
        <v>89.98</v>
      </c>
      <c r="L1836" s="475">
        <f>F1836*I1836</f>
        <v>18.27</v>
      </c>
      <c r="M1836" s="611">
        <f>K1836+L1836</f>
        <v>108.25</v>
      </c>
      <c r="N1836" s="473">
        <f>M1836*$N$7</f>
        <v>29.3141</v>
      </c>
      <c r="O1836" s="473">
        <f>M1836+N1836</f>
        <v>137.5641</v>
      </c>
    </row>
    <row r="1837" spans="1:15" s="23" customFormat="1" ht="14.25" x14ac:dyDescent="0.2">
      <c r="A1837" s="543"/>
      <c r="B1837" s="544" t="s">
        <v>658</v>
      </c>
      <c r="C1837" s="513">
        <v>6111</v>
      </c>
      <c r="D1837" s="545" t="s">
        <v>670</v>
      </c>
      <c r="E1837" s="514" t="s">
        <v>91</v>
      </c>
      <c r="F1837" s="546">
        <v>0.85</v>
      </c>
      <c r="G1837" s="612">
        <v>8.92</v>
      </c>
      <c r="H1837" s="613">
        <f>F1837*G1837</f>
        <v>7.5819999999999999</v>
      </c>
      <c r="I1837" s="612">
        <f>F1837*G1837</f>
        <v>7.5819999999999999</v>
      </c>
      <c r="J1837" s="614"/>
      <c r="K1837" s="613"/>
      <c r="L1837" s="612"/>
      <c r="M1837" s="614"/>
      <c r="N1837" s="550"/>
      <c r="O1837" s="551"/>
    </row>
    <row r="1838" spans="1:15" s="552" customFormat="1" ht="18.75" customHeight="1" x14ac:dyDescent="0.25">
      <c r="A1838" s="543"/>
      <c r="B1838" s="544" t="s">
        <v>658</v>
      </c>
      <c r="C1838" s="513">
        <v>2696</v>
      </c>
      <c r="D1838" s="545" t="s">
        <v>765</v>
      </c>
      <c r="E1838" s="514" t="s">
        <v>42</v>
      </c>
      <c r="F1838" s="546">
        <v>0.85</v>
      </c>
      <c r="G1838" s="547">
        <v>12.57</v>
      </c>
      <c r="H1838" s="613">
        <f>F1838*G1838</f>
        <v>10.6845</v>
      </c>
      <c r="I1838" s="547">
        <f>F1838*G1838</f>
        <v>10.6845</v>
      </c>
      <c r="J1838" s="549"/>
      <c r="K1838" s="548"/>
      <c r="L1838" s="547"/>
      <c r="M1838" s="549"/>
      <c r="N1838" s="550"/>
      <c r="O1838" s="551"/>
    </row>
    <row r="1839" spans="1:15" s="23" customFormat="1" ht="14.25" x14ac:dyDescent="0.2">
      <c r="A1839" s="543"/>
      <c r="B1839" s="544" t="s">
        <v>658</v>
      </c>
      <c r="C1839" s="513">
        <v>3146</v>
      </c>
      <c r="D1839" s="545" t="s">
        <v>1382</v>
      </c>
      <c r="E1839" s="514" t="s">
        <v>1097</v>
      </c>
      <c r="F1839" s="546">
        <v>0.22600000000000001</v>
      </c>
      <c r="G1839" s="612">
        <v>2.0699999999999998</v>
      </c>
      <c r="H1839" s="613">
        <f t="shared" ref="H1839" si="261">F1839*G1839</f>
        <v>0.46781999999999996</v>
      </c>
      <c r="I1839" s="612"/>
      <c r="J1839" s="614"/>
      <c r="K1839" s="613"/>
      <c r="L1839" s="612"/>
      <c r="M1839" s="614"/>
      <c r="N1839" s="550"/>
      <c r="O1839" s="551"/>
    </row>
    <row r="1840" spans="1:15" s="23" customFormat="1" ht="24" customHeight="1" x14ac:dyDescent="0.2">
      <c r="A1840" s="543"/>
      <c r="B1840" s="544" t="s">
        <v>715</v>
      </c>
      <c r="C1840" s="513">
        <v>6028</v>
      </c>
      <c r="D1840" s="545" t="s">
        <v>1395</v>
      </c>
      <c r="E1840" s="514" t="s">
        <v>1384</v>
      </c>
      <c r="F1840" s="546">
        <v>1</v>
      </c>
      <c r="G1840" s="612">
        <v>71.25</v>
      </c>
      <c r="H1840" s="613">
        <f t="shared" ref="H1840" si="262">F1840*G1840</f>
        <v>71.25</v>
      </c>
      <c r="I1840" s="612"/>
      <c r="J1840" s="614"/>
      <c r="K1840" s="613"/>
      <c r="L1840" s="612"/>
      <c r="M1840" s="614"/>
      <c r="N1840" s="550"/>
      <c r="O1840" s="551"/>
    </row>
    <row r="1841" spans="1:15" s="23" customFormat="1" ht="14.25" x14ac:dyDescent="0.2">
      <c r="A1841" s="134"/>
      <c r="B1841" s="129"/>
      <c r="C1841" s="29"/>
      <c r="D1841" s="117"/>
      <c r="E1841" s="30"/>
      <c r="F1841" s="476"/>
      <c r="G1841" s="477"/>
      <c r="H1841" s="478"/>
      <c r="I1841" s="735"/>
      <c r="J1841" s="480"/>
      <c r="K1841" s="478"/>
      <c r="L1841" s="479"/>
      <c r="M1841" s="480"/>
      <c r="N1841" s="92"/>
      <c r="O1841" s="92"/>
    </row>
    <row r="1842" spans="1:15" s="23" customFormat="1" ht="22.5" x14ac:dyDescent="0.2">
      <c r="A1842" s="223" t="s">
        <v>78</v>
      </c>
      <c r="B1842" s="224" t="s">
        <v>1396</v>
      </c>
      <c r="C1842" s="225" t="s">
        <v>1092</v>
      </c>
      <c r="D1842" s="232" t="s">
        <v>1397</v>
      </c>
      <c r="E1842" s="225" t="s">
        <v>1097</v>
      </c>
      <c r="F1842" s="609">
        <v>2</v>
      </c>
      <c r="G1842" s="474"/>
      <c r="H1842" s="610">
        <f>ROUND(SUM(H1843:H1846),2)</f>
        <v>131.61000000000001</v>
      </c>
      <c r="I1842" s="610">
        <f>ROUND(SUM(I1843:I1846),2)</f>
        <v>15.04</v>
      </c>
      <c r="J1842" s="611">
        <f>(H1842+I1842)</f>
        <v>146.65</v>
      </c>
      <c r="K1842" s="610">
        <f>F1842*H1842</f>
        <v>263.22000000000003</v>
      </c>
      <c r="L1842" s="475">
        <f>F1842*I1842</f>
        <v>30.08</v>
      </c>
      <c r="M1842" s="611">
        <f>K1842+L1842</f>
        <v>293.3</v>
      </c>
      <c r="N1842" s="473">
        <f>M1842*$N$7</f>
        <v>79.425640000000001</v>
      </c>
      <c r="O1842" s="473">
        <f>M1842+N1842</f>
        <v>372.72564</v>
      </c>
    </row>
    <row r="1843" spans="1:15" s="23" customFormat="1" ht="14.25" x14ac:dyDescent="0.2">
      <c r="A1843" s="543"/>
      <c r="B1843" s="544" t="s">
        <v>658</v>
      </c>
      <c r="C1843" s="513">
        <v>6111</v>
      </c>
      <c r="D1843" s="545" t="s">
        <v>670</v>
      </c>
      <c r="E1843" s="514" t="s">
        <v>91</v>
      </c>
      <c r="F1843" s="546">
        <v>0.7</v>
      </c>
      <c r="G1843" s="612">
        <v>8.92</v>
      </c>
      <c r="H1843" s="613">
        <f>F1843*G1843</f>
        <v>6.2439999999999998</v>
      </c>
      <c r="I1843" s="612">
        <f>F1843*G1843</f>
        <v>6.2439999999999998</v>
      </c>
      <c r="J1843" s="614"/>
      <c r="K1843" s="613"/>
      <c r="L1843" s="612"/>
      <c r="M1843" s="614"/>
      <c r="N1843" s="550"/>
      <c r="O1843" s="551"/>
    </row>
    <row r="1844" spans="1:15" s="552" customFormat="1" ht="18.75" customHeight="1" x14ac:dyDescent="0.25">
      <c r="A1844" s="543"/>
      <c r="B1844" s="544" t="s">
        <v>658</v>
      </c>
      <c r="C1844" s="513">
        <v>2696</v>
      </c>
      <c r="D1844" s="545" t="s">
        <v>765</v>
      </c>
      <c r="E1844" s="514" t="s">
        <v>42</v>
      </c>
      <c r="F1844" s="546">
        <v>0.7</v>
      </c>
      <c r="G1844" s="547">
        <v>12.57</v>
      </c>
      <c r="H1844" s="613">
        <f>F1844*G1844</f>
        <v>8.7989999999999995</v>
      </c>
      <c r="I1844" s="547">
        <f>F1844*G1844</f>
        <v>8.7989999999999995</v>
      </c>
      <c r="J1844" s="549"/>
      <c r="K1844" s="548"/>
      <c r="L1844" s="547"/>
      <c r="M1844" s="549"/>
      <c r="N1844" s="550"/>
      <c r="O1844" s="551"/>
    </row>
    <row r="1845" spans="1:15" s="23" customFormat="1" ht="14.25" x14ac:dyDescent="0.2">
      <c r="A1845" s="543"/>
      <c r="B1845" s="544" t="s">
        <v>658</v>
      </c>
      <c r="C1845" s="513">
        <v>14</v>
      </c>
      <c r="D1845" s="545" t="s">
        <v>1377</v>
      </c>
      <c r="E1845" s="514" t="s">
        <v>1097</v>
      </c>
      <c r="F1845" s="546">
        <v>0.05</v>
      </c>
      <c r="G1845" s="612">
        <v>5.49</v>
      </c>
      <c r="H1845" s="613">
        <f t="shared" ref="H1845:H1846" si="263">F1845*G1845</f>
        <v>0.27450000000000002</v>
      </c>
      <c r="I1845" s="612"/>
      <c r="J1845" s="614"/>
      <c r="K1845" s="613"/>
      <c r="L1845" s="612"/>
      <c r="M1845" s="614"/>
      <c r="N1845" s="550"/>
      <c r="O1845" s="551"/>
    </row>
    <row r="1846" spans="1:15" s="23" customFormat="1" ht="24" customHeight="1" x14ac:dyDescent="0.2">
      <c r="A1846" s="543"/>
      <c r="B1846" s="544" t="s">
        <v>715</v>
      </c>
      <c r="C1846" s="513">
        <v>10417</v>
      </c>
      <c r="D1846" s="545" t="s">
        <v>1398</v>
      </c>
      <c r="E1846" s="514" t="s">
        <v>1384</v>
      </c>
      <c r="F1846" s="546">
        <v>1</v>
      </c>
      <c r="G1846" s="612">
        <v>116.29</v>
      </c>
      <c r="H1846" s="613">
        <f t="shared" si="263"/>
        <v>116.29</v>
      </c>
      <c r="I1846" s="612"/>
      <c r="J1846" s="614"/>
      <c r="K1846" s="613"/>
      <c r="L1846" s="612"/>
      <c r="M1846" s="614"/>
      <c r="N1846" s="550"/>
      <c r="O1846" s="551"/>
    </row>
    <row r="1847" spans="1:15" s="23" customFormat="1" ht="14.25" x14ac:dyDescent="0.2">
      <c r="A1847" s="134"/>
      <c r="B1847" s="129"/>
      <c r="C1847" s="29"/>
      <c r="D1847" s="117"/>
      <c r="E1847" s="30"/>
      <c r="F1847" s="476"/>
      <c r="G1847" s="477"/>
      <c r="H1847" s="478"/>
      <c r="I1847" s="735"/>
      <c r="J1847" s="480"/>
      <c r="K1847" s="478"/>
      <c r="L1847" s="479"/>
      <c r="M1847" s="480"/>
      <c r="N1847" s="92"/>
      <c r="O1847" s="92"/>
    </row>
    <row r="1848" spans="1:15" s="23" customFormat="1" ht="14.25" x14ac:dyDescent="0.2">
      <c r="A1848" s="134"/>
      <c r="B1848" s="129"/>
      <c r="C1848" s="29"/>
      <c r="D1848" s="736" t="s">
        <v>1399</v>
      </c>
      <c r="E1848" s="30"/>
      <c r="F1848" s="476"/>
      <c r="G1848" s="477"/>
      <c r="H1848" s="478"/>
      <c r="I1848" s="735"/>
      <c r="J1848" s="480"/>
      <c r="K1848" s="478"/>
      <c r="L1848" s="479"/>
      <c r="M1848" s="480"/>
      <c r="N1848" s="92"/>
      <c r="O1848" s="92"/>
    </row>
    <row r="1849" spans="1:15" s="23" customFormat="1" ht="33.75" x14ac:dyDescent="0.2">
      <c r="A1849" s="223" t="s">
        <v>78</v>
      </c>
      <c r="B1849" s="224">
        <v>84215</v>
      </c>
      <c r="C1849" s="225" t="s">
        <v>312</v>
      </c>
      <c r="D1849" s="226" t="s">
        <v>753</v>
      </c>
      <c r="E1849" s="225" t="s">
        <v>94</v>
      </c>
      <c r="F1849" s="515">
        <f>'MEMÓRIA DE CÁLCULO'!F315</f>
        <v>13.680000000000001</v>
      </c>
      <c r="G1849" s="228"/>
      <c r="H1849" s="229">
        <f>ROUND(SUM(H1850:H1857),2)</f>
        <v>13.68</v>
      </c>
      <c r="I1849" s="229">
        <f>ROUND(SUM(I1850:I1857),2)</f>
        <v>13.61</v>
      </c>
      <c r="J1849" s="231">
        <f>(H1849+I1849)</f>
        <v>27.29</v>
      </c>
      <c r="K1849" s="229">
        <f>F1849*H1849</f>
        <v>187.14240000000001</v>
      </c>
      <c r="L1849" s="230">
        <f>F1849*I1849</f>
        <v>186.18480000000002</v>
      </c>
      <c r="M1849" s="231">
        <f>K1849+L1849</f>
        <v>373.32720000000006</v>
      </c>
      <c r="N1849" s="227">
        <f>M1849*$N$7</f>
        <v>101.09700576000002</v>
      </c>
      <c r="O1849" s="227">
        <f>M1849+N1849</f>
        <v>474.42420576000006</v>
      </c>
    </row>
    <row r="1850" spans="1:15" s="552" customFormat="1" ht="15" customHeight="1" x14ac:dyDescent="0.25">
      <c r="A1850" s="543"/>
      <c r="B1850" s="544" t="s">
        <v>658</v>
      </c>
      <c r="C1850" s="513">
        <v>6117</v>
      </c>
      <c r="D1850" s="545" t="s">
        <v>682</v>
      </c>
      <c r="E1850" s="514" t="s">
        <v>42</v>
      </c>
      <c r="F1850" s="546">
        <v>0.23</v>
      </c>
      <c r="G1850" s="547">
        <v>9.4499999999999993</v>
      </c>
      <c r="H1850" s="548"/>
      <c r="I1850" s="547">
        <f>F1850*G1850</f>
        <v>2.1734999999999998</v>
      </c>
      <c r="J1850" s="549"/>
      <c r="K1850" s="548"/>
      <c r="L1850" s="547"/>
      <c r="M1850" s="549"/>
      <c r="N1850" s="550"/>
      <c r="O1850" s="551"/>
    </row>
    <row r="1851" spans="1:15" s="552" customFormat="1" ht="15" customHeight="1" x14ac:dyDescent="0.25">
      <c r="A1851" s="543"/>
      <c r="B1851" s="544" t="s">
        <v>658</v>
      </c>
      <c r="C1851" s="513">
        <v>1213</v>
      </c>
      <c r="D1851" s="545" t="s">
        <v>676</v>
      </c>
      <c r="E1851" s="514" t="s">
        <v>42</v>
      </c>
      <c r="F1851" s="546">
        <v>0.91</v>
      </c>
      <c r="G1851" s="547">
        <v>12.57</v>
      </c>
      <c r="H1851" s="548"/>
      <c r="I1851" s="547">
        <f>F1851*G1851</f>
        <v>11.438700000000001</v>
      </c>
      <c r="J1851" s="549"/>
      <c r="K1851" s="548"/>
      <c r="L1851" s="547"/>
      <c r="M1851" s="549"/>
      <c r="N1851" s="550"/>
      <c r="O1851" s="551"/>
    </row>
    <row r="1852" spans="1:15" s="552" customFormat="1" ht="15" customHeight="1" x14ac:dyDescent="0.25">
      <c r="A1852" s="543"/>
      <c r="B1852" s="544" t="s">
        <v>658</v>
      </c>
      <c r="C1852" s="513">
        <v>1357</v>
      </c>
      <c r="D1852" s="545" t="s">
        <v>683</v>
      </c>
      <c r="E1852" s="514" t="s">
        <v>684</v>
      </c>
      <c r="F1852" s="546">
        <v>0.17419999999999999</v>
      </c>
      <c r="G1852" s="547">
        <v>28.54</v>
      </c>
      <c r="H1852" s="548">
        <f t="shared" ref="H1852:H1853" si="264">F1852*G1852</f>
        <v>4.9716679999999993</v>
      </c>
      <c r="I1852" s="547"/>
      <c r="J1852" s="549"/>
      <c r="K1852" s="548"/>
      <c r="L1852" s="547"/>
      <c r="M1852" s="549"/>
      <c r="N1852" s="550"/>
      <c r="O1852" s="551"/>
    </row>
    <row r="1853" spans="1:15" s="552" customFormat="1" ht="15" customHeight="1" x14ac:dyDescent="0.25">
      <c r="A1853" s="543"/>
      <c r="B1853" s="544" t="s">
        <v>658</v>
      </c>
      <c r="C1853" s="513">
        <v>2692</v>
      </c>
      <c r="D1853" s="545" t="s">
        <v>685</v>
      </c>
      <c r="E1853" s="514" t="s">
        <v>686</v>
      </c>
      <c r="F1853" s="546">
        <v>6.0000000000000001E-3</v>
      </c>
      <c r="G1853" s="547">
        <v>9.82</v>
      </c>
      <c r="H1853" s="548">
        <f t="shared" si="264"/>
        <v>5.892E-2</v>
      </c>
      <c r="I1853" s="547"/>
      <c r="J1853" s="549"/>
      <c r="K1853" s="548"/>
      <c r="L1853" s="547"/>
      <c r="M1853" s="549"/>
      <c r="N1853" s="550"/>
      <c r="O1853" s="551"/>
    </row>
    <row r="1854" spans="1:15" s="552" customFormat="1" ht="15" customHeight="1" x14ac:dyDescent="0.25">
      <c r="A1854" s="543"/>
      <c r="B1854" s="544" t="s">
        <v>658</v>
      </c>
      <c r="C1854" s="513">
        <v>4491</v>
      </c>
      <c r="D1854" s="545" t="s">
        <v>659</v>
      </c>
      <c r="E1854" s="514" t="s">
        <v>98</v>
      </c>
      <c r="F1854" s="546">
        <v>1.04</v>
      </c>
      <c r="G1854" s="547">
        <v>3.25</v>
      </c>
      <c r="H1854" s="548">
        <f>F1854*G1854</f>
        <v>3.38</v>
      </c>
      <c r="I1854" s="547"/>
      <c r="J1854" s="549"/>
      <c r="K1854" s="548"/>
      <c r="L1854" s="547"/>
      <c r="M1854" s="549"/>
      <c r="N1854" s="550"/>
      <c r="O1854" s="551"/>
    </row>
    <row r="1855" spans="1:15" s="552" customFormat="1" ht="15" customHeight="1" x14ac:dyDescent="0.25">
      <c r="A1855" s="543"/>
      <c r="B1855" s="544" t="s">
        <v>657</v>
      </c>
      <c r="C1855" s="513">
        <v>4506</v>
      </c>
      <c r="D1855" s="545" t="s">
        <v>687</v>
      </c>
      <c r="E1855" s="514" t="s">
        <v>98</v>
      </c>
      <c r="F1855" s="546">
        <v>0.55000000000000004</v>
      </c>
      <c r="G1855" s="547">
        <v>2.0099999999999998</v>
      </c>
      <c r="H1855" s="548">
        <f>F1855*G1855</f>
        <v>1.1054999999999999</v>
      </c>
      <c r="I1855" s="547"/>
      <c r="J1855" s="549"/>
      <c r="K1855" s="548"/>
      <c r="L1855" s="547"/>
      <c r="M1855" s="549"/>
      <c r="N1855" s="550"/>
      <c r="O1855" s="551"/>
    </row>
    <row r="1856" spans="1:15" s="552" customFormat="1" ht="15" customHeight="1" x14ac:dyDescent="0.25">
      <c r="A1856" s="543"/>
      <c r="B1856" s="544" t="s">
        <v>658</v>
      </c>
      <c r="C1856" s="513">
        <v>5068</v>
      </c>
      <c r="D1856" s="545" t="s">
        <v>688</v>
      </c>
      <c r="E1856" s="514" t="s">
        <v>97</v>
      </c>
      <c r="F1856" s="546">
        <v>0.27</v>
      </c>
      <c r="G1856" s="547">
        <v>6.99</v>
      </c>
      <c r="H1856" s="548">
        <f>F1856*G1856</f>
        <v>1.8873000000000002</v>
      </c>
      <c r="I1856" s="547"/>
      <c r="J1856" s="549"/>
      <c r="K1856" s="548"/>
      <c r="L1856" s="547"/>
      <c r="M1856" s="549"/>
      <c r="N1856" s="550"/>
      <c r="O1856" s="551"/>
    </row>
    <row r="1857" spans="1:15" s="552" customFormat="1" ht="15" customHeight="1" x14ac:dyDescent="0.25">
      <c r="A1857" s="543"/>
      <c r="B1857" s="544" t="s">
        <v>658</v>
      </c>
      <c r="C1857" s="513">
        <v>6189</v>
      </c>
      <c r="D1857" s="545" t="s">
        <v>689</v>
      </c>
      <c r="E1857" s="514" t="s">
        <v>98</v>
      </c>
      <c r="F1857" s="546">
        <v>0.31</v>
      </c>
      <c r="G1857" s="547">
        <v>7.33</v>
      </c>
      <c r="H1857" s="548">
        <f>F1857*G1857</f>
        <v>2.2723</v>
      </c>
      <c r="I1857" s="547"/>
      <c r="J1857" s="549"/>
      <c r="K1857" s="548"/>
      <c r="L1857" s="547"/>
      <c r="M1857" s="549"/>
      <c r="N1857" s="550"/>
      <c r="O1857" s="551"/>
    </row>
    <row r="1858" spans="1:15" s="189" customFormat="1" ht="11.25" x14ac:dyDescent="0.25">
      <c r="A1858" s="173"/>
      <c r="C1858" s="175"/>
      <c r="D1858" s="176"/>
      <c r="E1858" s="177"/>
      <c r="F1858" s="190"/>
      <c r="G1858" s="192"/>
      <c r="H1858" s="193"/>
      <c r="I1858" s="182"/>
      <c r="J1858" s="183"/>
      <c r="K1858" s="184"/>
      <c r="L1858" s="185"/>
      <c r="M1858" s="186"/>
      <c r="N1858" s="187"/>
      <c r="O1858" s="188"/>
    </row>
    <row r="1859" spans="1:15" s="23" customFormat="1" ht="22.5" x14ac:dyDescent="0.2">
      <c r="A1859" s="223" t="s">
        <v>78</v>
      </c>
      <c r="B1859" s="224" t="s">
        <v>22</v>
      </c>
      <c r="C1859" s="225" t="s">
        <v>313</v>
      </c>
      <c r="D1859" s="226" t="s">
        <v>1405</v>
      </c>
      <c r="E1859" s="225" t="s">
        <v>95</v>
      </c>
      <c r="F1859" s="515">
        <f>'MEMÓRIA DE CÁLCULO'!F316</f>
        <v>1.1880000000000002</v>
      </c>
      <c r="G1859" s="228"/>
      <c r="H1859" s="229">
        <f>ROUND(SUM(H1860:H1866),2)</f>
        <v>257.45999999999998</v>
      </c>
      <c r="I1859" s="229">
        <f>ROUND(SUM(I1860:I1866),2)</f>
        <v>36.9</v>
      </c>
      <c r="J1859" s="231">
        <f>(H1859+I1859)</f>
        <v>294.35999999999996</v>
      </c>
      <c r="K1859" s="229">
        <f>F1859*H1859</f>
        <v>305.86248000000001</v>
      </c>
      <c r="L1859" s="230">
        <f>F1859*I1859</f>
        <v>43.837200000000003</v>
      </c>
      <c r="M1859" s="231">
        <f>K1859+L1859</f>
        <v>349.69968</v>
      </c>
      <c r="N1859" s="227">
        <f>M1859*$N$7</f>
        <v>94.698673343999999</v>
      </c>
      <c r="O1859" s="227">
        <f>M1859+N1859</f>
        <v>444.39835334399999</v>
      </c>
    </row>
    <row r="1860" spans="1:15" s="552" customFormat="1" ht="15" customHeight="1" x14ac:dyDescent="0.25">
      <c r="A1860" s="543"/>
      <c r="B1860" s="544" t="s">
        <v>658</v>
      </c>
      <c r="C1860" s="513">
        <v>378</v>
      </c>
      <c r="D1860" s="545" t="s">
        <v>702</v>
      </c>
      <c r="E1860" s="514" t="s">
        <v>42</v>
      </c>
      <c r="F1860" s="546">
        <v>0.6</v>
      </c>
      <c r="G1860" s="547">
        <v>12.57</v>
      </c>
      <c r="H1860" s="548"/>
      <c r="I1860" s="547">
        <f>F1860*G1860</f>
        <v>7.5419999999999998</v>
      </c>
      <c r="J1860" s="549"/>
      <c r="K1860" s="548"/>
      <c r="L1860" s="547"/>
      <c r="M1860" s="549"/>
      <c r="N1860" s="550"/>
      <c r="O1860" s="551"/>
    </row>
    <row r="1861" spans="1:15" s="552" customFormat="1" ht="15" customHeight="1" x14ac:dyDescent="0.25">
      <c r="A1861" s="543"/>
      <c r="B1861" s="544" t="s">
        <v>658</v>
      </c>
      <c r="C1861" s="513">
        <v>1213</v>
      </c>
      <c r="D1861" s="545" t="s">
        <v>676</v>
      </c>
      <c r="E1861" s="514" t="s">
        <v>42</v>
      </c>
      <c r="F1861" s="546">
        <v>0.6</v>
      </c>
      <c r="G1861" s="547">
        <v>12.57</v>
      </c>
      <c r="H1861" s="548"/>
      <c r="I1861" s="547">
        <f>F1861*G1861</f>
        <v>7.5419999999999998</v>
      </c>
      <c r="J1861" s="549"/>
      <c r="K1861" s="548"/>
      <c r="L1861" s="547"/>
      <c r="M1861" s="549"/>
      <c r="N1861" s="550"/>
      <c r="O1861" s="551"/>
    </row>
    <row r="1862" spans="1:15" s="552" customFormat="1" ht="15" customHeight="1" x14ac:dyDescent="0.25">
      <c r="A1862" s="543"/>
      <c r="B1862" s="544" t="s">
        <v>658</v>
      </c>
      <c r="C1862" s="513">
        <v>4750</v>
      </c>
      <c r="D1862" s="545" t="s">
        <v>679</v>
      </c>
      <c r="E1862" s="514" t="s">
        <v>42</v>
      </c>
      <c r="F1862" s="546">
        <v>0.6</v>
      </c>
      <c r="G1862" s="547">
        <v>12.57</v>
      </c>
      <c r="H1862" s="548"/>
      <c r="I1862" s="547">
        <f>F1862*G1862</f>
        <v>7.5419999999999998</v>
      </c>
      <c r="J1862" s="549"/>
      <c r="K1862" s="548"/>
      <c r="L1862" s="547"/>
      <c r="M1862" s="549"/>
      <c r="N1862" s="550"/>
      <c r="O1862" s="551"/>
    </row>
    <row r="1863" spans="1:15" s="552" customFormat="1" ht="15" customHeight="1" x14ac:dyDescent="0.25">
      <c r="A1863" s="543"/>
      <c r="B1863" s="544" t="s">
        <v>658</v>
      </c>
      <c r="C1863" s="513">
        <v>6111</v>
      </c>
      <c r="D1863" s="545" t="s">
        <v>670</v>
      </c>
      <c r="E1863" s="514" t="s">
        <v>42</v>
      </c>
      <c r="F1863" s="546">
        <v>1.6</v>
      </c>
      <c r="G1863" s="547">
        <v>8.92</v>
      </c>
      <c r="H1863" s="548"/>
      <c r="I1863" s="547">
        <f>F1863*G1863</f>
        <v>14.272</v>
      </c>
      <c r="J1863" s="549"/>
      <c r="K1863" s="548"/>
      <c r="L1863" s="547"/>
      <c r="M1863" s="549"/>
      <c r="N1863" s="550"/>
      <c r="O1863" s="551"/>
    </row>
    <row r="1864" spans="1:15" s="552" customFormat="1" ht="15" customHeight="1" x14ac:dyDescent="0.25">
      <c r="A1864" s="543"/>
      <c r="B1864" s="544" t="s">
        <v>657</v>
      </c>
      <c r="C1864" s="513">
        <v>1527</v>
      </c>
      <c r="D1864" s="545" t="s">
        <v>1406</v>
      </c>
      <c r="E1864" s="514" t="s">
        <v>95</v>
      </c>
      <c r="F1864" s="546">
        <v>1.05</v>
      </c>
      <c r="G1864" s="547">
        <v>244.89</v>
      </c>
      <c r="H1864" s="548">
        <f t="shared" ref="H1864:H1865" si="265">F1864*G1864</f>
        <v>257.1345</v>
      </c>
      <c r="I1864" s="547"/>
      <c r="J1864" s="549"/>
      <c r="K1864" s="548"/>
      <c r="L1864" s="547"/>
      <c r="M1864" s="549"/>
      <c r="N1864" s="550"/>
      <c r="O1864" s="551"/>
    </row>
    <row r="1865" spans="1:15" s="552" customFormat="1" ht="15" customHeight="1" x14ac:dyDescent="0.25">
      <c r="A1865" s="543"/>
      <c r="B1865" s="544" t="s">
        <v>658</v>
      </c>
      <c r="C1865" s="513">
        <v>10485</v>
      </c>
      <c r="D1865" s="545" t="s">
        <v>700</v>
      </c>
      <c r="E1865" s="514" t="s">
        <v>91</v>
      </c>
      <c r="F1865" s="546">
        <v>0.3</v>
      </c>
      <c r="G1865" s="547">
        <v>1.0900000000000001</v>
      </c>
      <c r="H1865" s="548">
        <f t="shared" si="265"/>
        <v>0.32700000000000001</v>
      </c>
      <c r="I1865" s="547"/>
      <c r="J1865" s="549"/>
      <c r="K1865" s="548"/>
      <c r="L1865" s="547"/>
      <c r="M1865" s="549"/>
      <c r="N1865" s="550"/>
      <c r="O1865" s="551"/>
    </row>
    <row r="1866" spans="1:15" s="23" customFormat="1" ht="14.25" x14ac:dyDescent="0.2">
      <c r="A1866" s="134"/>
      <c r="B1866" s="129"/>
      <c r="C1866" s="29"/>
      <c r="D1866" s="117" t="s">
        <v>83</v>
      </c>
      <c r="E1866" s="30"/>
      <c r="F1866" s="118"/>
      <c r="G1866" s="31"/>
      <c r="H1866" s="104"/>
      <c r="I1866" s="27"/>
      <c r="J1866" s="105"/>
      <c r="K1866" s="104"/>
      <c r="L1866" s="27"/>
      <c r="M1866" s="105"/>
      <c r="N1866" s="92"/>
      <c r="O1866" s="92"/>
    </row>
    <row r="1867" spans="1:15" s="23" customFormat="1" ht="14.25" x14ac:dyDescent="0.2">
      <c r="A1867" s="223" t="s">
        <v>78</v>
      </c>
      <c r="B1867" s="224" t="s">
        <v>701</v>
      </c>
      <c r="C1867" s="225" t="s">
        <v>792</v>
      </c>
      <c r="D1867" s="226" t="s">
        <v>756</v>
      </c>
      <c r="E1867" s="225" t="s">
        <v>233</v>
      </c>
      <c r="F1867" s="515">
        <f>F1859</f>
        <v>1.1880000000000002</v>
      </c>
      <c r="G1867" s="228"/>
      <c r="H1867" s="229">
        <f>ROUND(SUM(H1868:H1872),2)</f>
        <v>296.20999999999998</v>
      </c>
      <c r="I1867" s="229">
        <f>ROUND(SUM(I1868:I1872),2)</f>
        <v>150.43</v>
      </c>
      <c r="J1867" s="231">
        <f>(H1867+I1867)</f>
        <v>446.64</v>
      </c>
      <c r="K1867" s="229">
        <f>F1867*H1867</f>
        <v>351.89748000000003</v>
      </c>
      <c r="L1867" s="230">
        <f>F1867*I1867</f>
        <v>178.71084000000005</v>
      </c>
      <c r="M1867" s="231">
        <f>K1867+L1867</f>
        <v>530.60832000000005</v>
      </c>
      <c r="N1867" s="227">
        <f>M1867*$N$7</f>
        <v>143.68873305600002</v>
      </c>
      <c r="O1867" s="227">
        <f>M1867+N1867</f>
        <v>674.2970530560001</v>
      </c>
    </row>
    <row r="1868" spans="1:15" s="552" customFormat="1" ht="15" customHeight="1" x14ac:dyDescent="0.25">
      <c r="A1868" s="543"/>
      <c r="B1868" s="544" t="s">
        <v>658</v>
      </c>
      <c r="C1868" s="513">
        <v>378</v>
      </c>
      <c r="D1868" s="545" t="s">
        <v>702</v>
      </c>
      <c r="E1868" s="514" t="s">
        <v>42</v>
      </c>
      <c r="F1868" s="546">
        <v>7</v>
      </c>
      <c r="G1868" s="547">
        <v>12.57</v>
      </c>
      <c r="H1868" s="548"/>
      <c r="I1868" s="547">
        <f>F1868*G1868</f>
        <v>87.990000000000009</v>
      </c>
      <c r="J1868" s="549"/>
      <c r="K1868" s="548"/>
      <c r="L1868" s="547"/>
      <c r="M1868" s="549"/>
      <c r="N1868" s="550"/>
      <c r="O1868" s="551"/>
    </row>
    <row r="1869" spans="1:15" s="552" customFormat="1" ht="15" customHeight="1" x14ac:dyDescent="0.25">
      <c r="A1869" s="543"/>
      <c r="B1869" s="544" t="s">
        <v>658</v>
      </c>
      <c r="C1869" s="513">
        <v>6111</v>
      </c>
      <c r="D1869" s="545" t="s">
        <v>670</v>
      </c>
      <c r="E1869" s="514" t="s">
        <v>42</v>
      </c>
      <c r="F1869" s="546">
        <v>7</v>
      </c>
      <c r="G1869" s="547">
        <v>8.92</v>
      </c>
      <c r="H1869" s="548"/>
      <c r="I1869" s="547">
        <f>F1869*G1869</f>
        <v>62.44</v>
      </c>
      <c r="J1869" s="549"/>
      <c r="K1869" s="548"/>
      <c r="L1869" s="547"/>
      <c r="M1869" s="549"/>
      <c r="N1869" s="550"/>
      <c r="O1869" s="551"/>
    </row>
    <row r="1870" spans="1:15" s="552" customFormat="1" ht="15" customHeight="1" x14ac:dyDescent="0.25">
      <c r="A1870" s="543"/>
      <c r="B1870" s="544" t="s">
        <v>657</v>
      </c>
      <c r="C1870" s="513">
        <v>27</v>
      </c>
      <c r="D1870" s="545" t="s">
        <v>703</v>
      </c>
      <c r="E1870" s="514" t="s">
        <v>97</v>
      </c>
      <c r="F1870" s="546">
        <v>55</v>
      </c>
      <c r="G1870" s="547">
        <v>3.38</v>
      </c>
      <c r="H1870" s="548">
        <f t="shared" ref="H1870:H1872" si="266">F1870*G1870</f>
        <v>185.9</v>
      </c>
      <c r="I1870" s="547"/>
      <c r="J1870" s="549"/>
      <c r="K1870" s="548"/>
      <c r="L1870" s="547"/>
      <c r="M1870" s="549"/>
      <c r="N1870" s="550"/>
      <c r="O1870" s="551"/>
    </row>
    <row r="1871" spans="1:15" s="552" customFormat="1" ht="15" customHeight="1" x14ac:dyDescent="0.25">
      <c r="A1871" s="543"/>
      <c r="B1871" s="544" t="s">
        <v>658</v>
      </c>
      <c r="C1871" s="513">
        <v>33</v>
      </c>
      <c r="D1871" s="545" t="s">
        <v>704</v>
      </c>
      <c r="E1871" s="514" t="s">
        <v>97</v>
      </c>
      <c r="F1871" s="546">
        <v>22</v>
      </c>
      <c r="G1871" s="547">
        <v>4.18</v>
      </c>
      <c r="H1871" s="548">
        <f t="shared" si="266"/>
        <v>91.96</v>
      </c>
      <c r="I1871" s="547"/>
      <c r="J1871" s="549"/>
      <c r="K1871" s="548"/>
      <c r="L1871" s="547"/>
      <c r="M1871" s="549"/>
      <c r="N1871" s="550"/>
      <c r="O1871" s="551"/>
    </row>
    <row r="1872" spans="1:15" s="552" customFormat="1" ht="15" customHeight="1" x14ac:dyDescent="0.25">
      <c r="A1872" s="543"/>
      <c r="B1872" s="544" t="s">
        <v>657</v>
      </c>
      <c r="C1872" s="513">
        <v>337</v>
      </c>
      <c r="D1872" s="545" t="s">
        <v>705</v>
      </c>
      <c r="E1872" s="514" t="s">
        <v>97</v>
      </c>
      <c r="F1872" s="546">
        <v>2.5</v>
      </c>
      <c r="G1872" s="547">
        <v>7.34</v>
      </c>
      <c r="H1872" s="548">
        <f t="shared" si="266"/>
        <v>18.350000000000001</v>
      </c>
      <c r="I1872" s="547"/>
      <c r="J1872" s="549"/>
      <c r="K1872" s="548"/>
      <c r="L1872" s="547"/>
      <c r="M1872" s="549"/>
      <c r="N1872" s="550"/>
      <c r="O1872" s="551"/>
    </row>
    <row r="1873" spans="1:15" s="23" customFormat="1" ht="14.25" x14ac:dyDescent="0.2">
      <c r="A1873" s="134"/>
      <c r="B1873" s="129"/>
      <c r="C1873" s="29"/>
      <c r="D1873" s="117" t="s">
        <v>83</v>
      </c>
      <c r="E1873" s="30"/>
      <c r="F1873" s="118"/>
      <c r="G1873" s="31"/>
      <c r="H1873" s="104"/>
      <c r="I1873" s="27"/>
      <c r="J1873" s="105"/>
      <c r="K1873" s="104"/>
      <c r="L1873" s="27"/>
      <c r="M1873" s="105"/>
      <c r="N1873" s="92"/>
      <c r="O1873" s="92"/>
    </row>
    <row r="1874" spans="1:15" s="23" customFormat="1" ht="14.25" x14ac:dyDescent="0.2">
      <c r="A1874" s="134"/>
      <c r="B1874" s="129"/>
      <c r="C1874" s="29"/>
      <c r="D1874" s="736" t="s">
        <v>1400</v>
      </c>
      <c r="E1874" s="30"/>
      <c r="F1874" s="476"/>
      <c r="G1874" s="477"/>
      <c r="H1874" s="478"/>
      <c r="I1874" s="735"/>
      <c r="J1874" s="480"/>
      <c r="K1874" s="478"/>
      <c r="L1874" s="479"/>
      <c r="M1874" s="480"/>
      <c r="N1874" s="92"/>
      <c r="O1874" s="92"/>
    </row>
    <row r="1875" spans="1:15" s="23" customFormat="1" ht="22.5" x14ac:dyDescent="0.2">
      <c r="A1875" s="223" t="s">
        <v>78</v>
      </c>
      <c r="B1875" s="224">
        <v>87905</v>
      </c>
      <c r="C1875" s="225" t="s">
        <v>644</v>
      </c>
      <c r="D1875" s="226" t="s">
        <v>1085</v>
      </c>
      <c r="E1875" s="225" t="s">
        <v>94</v>
      </c>
      <c r="F1875" s="473">
        <f>'MEMÓRIA DE CÁLCULO'!F319</f>
        <v>15.120000000000001</v>
      </c>
      <c r="G1875" s="474"/>
      <c r="H1875" s="229">
        <f>ROUND(SUM(H1876:H1878),2)</f>
        <v>1.4</v>
      </c>
      <c r="I1875" s="229">
        <f>ROUND(SUM(I1876:I1878),2)</f>
        <v>3.11</v>
      </c>
      <c r="J1875" s="231">
        <f>(H1875+I1875)</f>
        <v>4.51</v>
      </c>
      <c r="K1875" s="229">
        <f>F1875*H1875</f>
        <v>21.167999999999999</v>
      </c>
      <c r="L1875" s="230">
        <f>F1875*I1875</f>
        <v>47.023200000000003</v>
      </c>
      <c r="M1875" s="231">
        <f>K1875+L1875</f>
        <v>68.191200000000009</v>
      </c>
      <c r="N1875" s="227">
        <f>M1875*$N$7</f>
        <v>18.466176960000002</v>
      </c>
      <c r="O1875" s="227">
        <f>M1875+N1875</f>
        <v>86.657376960000008</v>
      </c>
    </row>
    <row r="1876" spans="1:15" s="552" customFormat="1" ht="21" customHeight="1" x14ac:dyDescent="0.25">
      <c r="A1876" s="543"/>
      <c r="B1876" s="544" t="s">
        <v>664</v>
      </c>
      <c r="C1876" s="513">
        <v>87313</v>
      </c>
      <c r="D1876" s="545" t="s">
        <v>790</v>
      </c>
      <c r="E1876" s="514" t="s">
        <v>233</v>
      </c>
      <c r="F1876" s="546">
        <v>4.1999999999999997E-3</v>
      </c>
      <c r="G1876" s="547">
        <v>333.01</v>
      </c>
      <c r="H1876" s="548">
        <f t="shared" ref="H1876" si="267">F1876*G1876</f>
        <v>1.3986419999999999</v>
      </c>
      <c r="I1876" s="547"/>
      <c r="J1876" s="549"/>
      <c r="K1876" s="548"/>
      <c r="L1876" s="547"/>
      <c r="M1876" s="549"/>
      <c r="N1876" s="550"/>
      <c r="O1876" s="551"/>
    </row>
    <row r="1877" spans="1:15" s="552" customFormat="1" ht="15" customHeight="1" x14ac:dyDescent="0.25">
      <c r="A1877" s="543"/>
      <c r="B1877" s="544" t="s">
        <v>715</v>
      </c>
      <c r="C1877" s="513">
        <v>4750</v>
      </c>
      <c r="D1877" s="545" t="s">
        <v>679</v>
      </c>
      <c r="E1877" s="514" t="s">
        <v>42</v>
      </c>
      <c r="F1877" s="546">
        <v>0.183</v>
      </c>
      <c r="G1877" s="547">
        <v>12.57</v>
      </c>
      <c r="H1877" s="548"/>
      <c r="I1877" s="547">
        <f>F1877*G1877</f>
        <v>2.3003100000000001</v>
      </c>
      <c r="J1877" s="549"/>
      <c r="K1877" s="548"/>
      <c r="L1877" s="547"/>
      <c r="M1877" s="549"/>
      <c r="N1877" s="550"/>
      <c r="O1877" s="551"/>
    </row>
    <row r="1878" spans="1:15" s="552" customFormat="1" ht="15" customHeight="1" x14ac:dyDescent="0.25">
      <c r="A1878" s="543"/>
      <c r="B1878" s="544" t="s">
        <v>658</v>
      </c>
      <c r="C1878" s="513">
        <v>6111</v>
      </c>
      <c r="D1878" s="545" t="s">
        <v>670</v>
      </c>
      <c r="E1878" s="514" t="s">
        <v>42</v>
      </c>
      <c r="F1878" s="546">
        <v>9.0999999999999998E-2</v>
      </c>
      <c r="G1878" s="547">
        <v>8.92</v>
      </c>
      <c r="H1878" s="548"/>
      <c r="I1878" s="547">
        <f t="shared" ref="I1878" si="268">F1878*G1878</f>
        <v>0.81172</v>
      </c>
      <c r="J1878" s="549"/>
      <c r="K1878" s="548"/>
      <c r="L1878" s="547"/>
      <c r="M1878" s="549"/>
      <c r="N1878" s="550"/>
      <c r="O1878" s="551"/>
    </row>
    <row r="1879" spans="1:15" s="23" customFormat="1" ht="14.25" x14ac:dyDescent="0.2">
      <c r="A1879" s="134"/>
      <c r="B1879" s="129"/>
      <c r="C1879" s="29"/>
      <c r="D1879" s="117" t="s">
        <v>83</v>
      </c>
      <c r="E1879" s="30"/>
      <c r="F1879" s="476"/>
      <c r="G1879" s="477"/>
      <c r="H1879" s="478"/>
      <c r="I1879" s="479"/>
      <c r="J1879" s="480"/>
      <c r="K1879" s="478"/>
      <c r="L1879" s="479"/>
      <c r="M1879" s="480"/>
      <c r="N1879" s="92"/>
      <c r="O1879" s="92"/>
    </row>
    <row r="1880" spans="1:15" s="23" customFormat="1" ht="22.5" x14ac:dyDescent="0.2">
      <c r="A1880" s="223" t="s">
        <v>78</v>
      </c>
      <c r="B1880" s="224">
        <v>87530</v>
      </c>
      <c r="C1880" s="225" t="s">
        <v>645</v>
      </c>
      <c r="D1880" s="226" t="s">
        <v>1086</v>
      </c>
      <c r="E1880" s="225" t="s">
        <v>94</v>
      </c>
      <c r="F1880" s="473">
        <f>'MEMÓRIA DE CÁLCULO'!F320</f>
        <v>15.120000000000001</v>
      </c>
      <c r="G1880" s="474"/>
      <c r="H1880" s="229">
        <f>ROUND(SUM(H1881:H1883),2)</f>
        <v>14.06</v>
      </c>
      <c r="I1880" s="229">
        <f>ROUND(SUM(I1881:I1883),2)</f>
        <v>7.43</v>
      </c>
      <c r="J1880" s="231">
        <f>(H1880+I1880)</f>
        <v>21.490000000000002</v>
      </c>
      <c r="K1880" s="229">
        <f>F1880*H1880</f>
        <v>212.58720000000002</v>
      </c>
      <c r="L1880" s="230">
        <f>F1880*I1880</f>
        <v>112.3416</v>
      </c>
      <c r="M1880" s="231">
        <f>K1880+L1880</f>
        <v>324.92880000000002</v>
      </c>
      <c r="N1880" s="227">
        <f>M1880*$N$7</f>
        <v>87.990719040000002</v>
      </c>
      <c r="O1880" s="227">
        <f>M1880+N1880</f>
        <v>412.91951904000001</v>
      </c>
    </row>
    <row r="1881" spans="1:15" s="552" customFormat="1" ht="21" customHeight="1" x14ac:dyDescent="0.25">
      <c r="A1881" s="543"/>
      <c r="B1881" s="544" t="s">
        <v>664</v>
      </c>
      <c r="C1881" s="513">
        <v>87369</v>
      </c>
      <c r="D1881" s="545" t="s">
        <v>791</v>
      </c>
      <c r="E1881" s="514" t="s">
        <v>233</v>
      </c>
      <c r="F1881" s="546">
        <v>3.7600000000000001E-2</v>
      </c>
      <c r="G1881" s="547">
        <v>373.9</v>
      </c>
      <c r="H1881" s="548">
        <f t="shared" ref="H1881" si="269">F1881*G1881</f>
        <v>14.05864</v>
      </c>
      <c r="I1881" s="547"/>
      <c r="J1881" s="549"/>
      <c r="K1881" s="548"/>
      <c r="L1881" s="547"/>
      <c r="M1881" s="549"/>
      <c r="N1881" s="550"/>
      <c r="O1881" s="551"/>
    </row>
    <row r="1882" spans="1:15" s="552" customFormat="1" ht="15" customHeight="1" x14ac:dyDescent="0.25">
      <c r="A1882" s="543"/>
      <c r="B1882" s="544" t="s">
        <v>715</v>
      </c>
      <c r="C1882" s="513">
        <v>4750</v>
      </c>
      <c r="D1882" s="545" t="s">
        <v>714</v>
      </c>
      <c r="E1882" s="514" t="s">
        <v>42</v>
      </c>
      <c r="F1882" s="546">
        <v>0.47</v>
      </c>
      <c r="G1882" s="547">
        <v>12.57</v>
      </c>
      <c r="H1882" s="548"/>
      <c r="I1882" s="547">
        <f>F1882*G1882</f>
        <v>5.9078999999999997</v>
      </c>
      <c r="J1882" s="549"/>
      <c r="K1882" s="548"/>
      <c r="L1882" s="547"/>
      <c r="M1882" s="549"/>
      <c r="N1882" s="550"/>
      <c r="O1882" s="551"/>
    </row>
    <row r="1883" spans="1:15" s="552" customFormat="1" ht="15" customHeight="1" x14ac:dyDescent="0.25">
      <c r="A1883" s="543"/>
      <c r="B1883" s="544" t="s">
        <v>658</v>
      </c>
      <c r="C1883" s="513">
        <v>6111</v>
      </c>
      <c r="D1883" s="545" t="s">
        <v>670</v>
      </c>
      <c r="E1883" s="514" t="s">
        <v>42</v>
      </c>
      <c r="F1883" s="546">
        <v>0.17100000000000001</v>
      </c>
      <c r="G1883" s="547">
        <v>8.92</v>
      </c>
      <c r="H1883" s="548"/>
      <c r="I1883" s="547">
        <f t="shared" ref="I1883" si="270">F1883*G1883</f>
        <v>1.52532</v>
      </c>
      <c r="J1883" s="549"/>
      <c r="K1883" s="548"/>
      <c r="L1883" s="547"/>
      <c r="M1883" s="549"/>
      <c r="N1883" s="550"/>
      <c r="O1883" s="551"/>
    </row>
    <row r="1884" spans="1:15" s="23" customFormat="1" ht="14.25" x14ac:dyDescent="0.2">
      <c r="A1884" s="134"/>
      <c r="B1884" s="129"/>
      <c r="C1884" s="29"/>
      <c r="D1884" s="117" t="s">
        <v>83</v>
      </c>
      <c r="E1884" s="30"/>
      <c r="F1884" s="476"/>
      <c r="G1884" s="477"/>
      <c r="H1884" s="478"/>
      <c r="I1884" s="479"/>
      <c r="J1884" s="480"/>
      <c r="K1884" s="478"/>
      <c r="L1884" s="479"/>
      <c r="M1884" s="480"/>
      <c r="N1884" s="92"/>
      <c r="O1884" s="92"/>
    </row>
    <row r="1885" spans="1:15" s="23" customFormat="1" ht="22.5" x14ac:dyDescent="0.2">
      <c r="A1885" s="223" t="s">
        <v>78</v>
      </c>
      <c r="B1885" s="224">
        <v>83730</v>
      </c>
      <c r="C1885" s="225" t="s">
        <v>792</v>
      </c>
      <c r="D1885" s="232" t="s">
        <v>1417</v>
      </c>
      <c r="E1885" s="225" t="s">
        <v>94</v>
      </c>
      <c r="F1885" s="515">
        <f>'MEMÓRIA DE CÁLCULO'!F322</f>
        <v>7.5600000000000005</v>
      </c>
      <c r="G1885" s="228"/>
      <c r="H1885" s="229">
        <f>ROUND(SUM(H1887:H1888),2)</f>
        <v>296.52</v>
      </c>
      <c r="I1885" s="229">
        <f>ROUND(SUM(I1886:I1888),2)</f>
        <v>16.61</v>
      </c>
      <c r="J1885" s="231">
        <f>(H1885+I1885)</f>
        <v>313.13</v>
      </c>
      <c r="K1885" s="229">
        <f>F1885*H1885</f>
        <v>2241.6912000000002</v>
      </c>
      <c r="L1885" s="230">
        <f>F1885*I1885</f>
        <v>125.5716</v>
      </c>
      <c r="M1885" s="231">
        <f>K1885+L1885</f>
        <v>2367.2628000000004</v>
      </c>
      <c r="N1885" s="227">
        <f>M1885*$N$7</f>
        <v>641.05476624000005</v>
      </c>
      <c r="O1885" s="227">
        <f>M1885+N1885</f>
        <v>3008.3175662400004</v>
      </c>
    </row>
    <row r="1886" spans="1:15" s="552" customFormat="1" ht="15" customHeight="1" x14ac:dyDescent="0.25">
      <c r="A1886" s="543"/>
      <c r="B1886" s="544" t="s">
        <v>658</v>
      </c>
      <c r="C1886" s="513">
        <v>6111</v>
      </c>
      <c r="D1886" s="545" t="s">
        <v>670</v>
      </c>
      <c r="E1886" s="514" t="s">
        <v>42</v>
      </c>
      <c r="F1886" s="546">
        <v>0.75</v>
      </c>
      <c r="G1886" s="547">
        <v>8.92</v>
      </c>
      <c r="H1886" s="548"/>
      <c r="I1886" s="547">
        <f>F1886*G1886</f>
        <v>6.6899999999999995</v>
      </c>
      <c r="J1886" s="549"/>
      <c r="K1886" s="548"/>
      <c r="L1886" s="547"/>
      <c r="M1886" s="549"/>
      <c r="N1886" s="550"/>
      <c r="O1886" s="551"/>
    </row>
    <row r="1887" spans="1:15" s="552" customFormat="1" ht="15" customHeight="1" x14ac:dyDescent="0.25">
      <c r="A1887" s="543"/>
      <c r="B1887" s="544" t="s">
        <v>658</v>
      </c>
      <c r="C1887" s="513">
        <v>12873</v>
      </c>
      <c r="D1887" s="545" t="s">
        <v>1401</v>
      </c>
      <c r="E1887" s="514" t="s">
        <v>42</v>
      </c>
      <c r="F1887" s="546">
        <v>0.75</v>
      </c>
      <c r="G1887" s="547">
        <v>13.22</v>
      </c>
      <c r="H1887" s="548"/>
      <c r="I1887" s="547">
        <f>F1887*G1887</f>
        <v>9.9150000000000009</v>
      </c>
      <c r="J1887" s="549"/>
      <c r="K1887" s="548"/>
      <c r="L1887" s="547"/>
      <c r="M1887" s="549"/>
      <c r="N1887" s="550"/>
      <c r="O1887" s="551"/>
    </row>
    <row r="1888" spans="1:15" s="552" customFormat="1" ht="15" customHeight="1" x14ac:dyDescent="0.25">
      <c r="A1888" s="543"/>
      <c r="B1888" s="544" t="s">
        <v>657</v>
      </c>
      <c r="C1888" s="513">
        <v>130</v>
      </c>
      <c r="D1888" s="545" t="s">
        <v>1402</v>
      </c>
      <c r="E1888" s="514" t="s">
        <v>97</v>
      </c>
      <c r="F1888" s="546">
        <v>42</v>
      </c>
      <c r="G1888" s="547">
        <v>7.06</v>
      </c>
      <c r="H1888" s="548">
        <f t="shared" ref="H1888" si="271">F1888*G1888</f>
        <v>296.52</v>
      </c>
      <c r="I1888" s="547"/>
      <c r="J1888" s="549"/>
      <c r="K1888" s="548"/>
      <c r="L1888" s="547"/>
      <c r="M1888" s="549"/>
      <c r="N1888" s="550"/>
      <c r="O1888" s="551"/>
    </row>
    <row r="1889" spans="1:15" s="23" customFormat="1" ht="14.25" x14ac:dyDescent="0.2">
      <c r="A1889" s="134"/>
      <c r="B1889" s="129"/>
      <c r="C1889" s="29"/>
      <c r="D1889" s="117" t="s">
        <v>83</v>
      </c>
      <c r="E1889" s="30"/>
      <c r="F1889" s="118"/>
      <c r="G1889" s="31"/>
      <c r="H1889" s="104"/>
      <c r="I1889" s="27"/>
      <c r="J1889" s="105"/>
      <c r="K1889" s="104"/>
      <c r="L1889" s="27"/>
      <c r="M1889" s="105"/>
      <c r="N1889" s="92"/>
      <c r="O1889" s="92"/>
    </row>
    <row r="1890" spans="1:15" s="23" customFormat="1" ht="33.75" x14ac:dyDescent="0.2">
      <c r="A1890" s="223" t="s">
        <v>78</v>
      </c>
      <c r="B1890" s="224" t="s">
        <v>1416</v>
      </c>
      <c r="C1890" s="225" t="s">
        <v>792</v>
      </c>
      <c r="D1890" s="232" t="s">
        <v>1418</v>
      </c>
      <c r="E1890" s="225" t="s">
        <v>94</v>
      </c>
      <c r="F1890" s="515">
        <f>'MEMÓRIA DE CÁLCULO'!F323</f>
        <v>7.2</v>
      </c>
      <c r="G1890" s="228"/>
      <c r="H1890" s="229">
        <f>ROUND(SUM(H1891:H1893),2)</f>
        <v>148.26</v>
      </c>
      <c r="I1890" s="229">
        <f>ROUND(SUM(I1891:I1893),2)</f>
        <v>8.41</v>
      </c>
      <c r="J1890" s="231">
        <f>(H1890+I1890)</f>
        <v>156.66999999999999</v>
      </c>
      <c r="K1890" s="229">
        <f>F1890*H1890</f>
        <v>1067.472</v>
      </c>
      <c r="L1890" s="230">
        <f>F1890*I1890</f>
        <v>60.552</v>
      </c>
      <c r="M1890" s="231">
        <f>K1890+L1890</f>
        <v>1128.0239999999999</v>
      </c>
      <c r="N1890" s="227">
        <f>M1890*$N$7</f>
        <v>305.46889919999995</v>
      </c>
      <c r="O1890" s="227">
        <f>M1890+N1890</f>
        <v>1433.4928991999998</v>
      </c>
    </row>
    <row r="1891" spans="1:15" s="552" customFormat="1" ht="15" customHeight="1" x14ac:dyDescent="0.25">
      <c r="A1891" s="543"/>
      <c r="B1891" s="544" t="s">
        <v>658</v>
      </c>
      <c r="C1891" s="513">
        <v>6111</v>
      </c>
      <c r="D1891" s="545" t="s">
        <v>670</v>
      </c>
      <c r="E1891" s="514" t="s">
        <v>42</v>
      </c>
      <c r="F1891" s="546">
        <v>0.38</v>
      </c>
      <c r="G1891" s="547">
        <v>8.92</v>
      </c>
      <c r="H1891" s="548"/>
      <c r="I1891" s="547">
        <f>F1891*G1891</f>
        <v>3.3896000000000002</v>
      </c>
      <c r="J1891" s="549"/>
      <c r="K1891" s="548"/>
      <c r="L1891" s="547"/>
      <c r="M1891" s="549"/>
      <c r="N1891" s="550"/>
      <c r="O1891" s="551"/>
    </row>
    <row r="1892" spans="1:15" s="552" customFormat="1" ht="15" customHeight="1" x14ac:dyDescent="0.25">
      <c r="A1892" s="543"/>
      <c r="B1892" s="544" t="s">
        <v>658</v>
      </c>
      <c r="C1892" s="513">
        <v>12873</v>
      </c>
      <c r="D1892" s="545" t="s">
        <v>1401</v>
      </c>
      <c r="E1892" s="514" t="s">
        <v>42</v>
      </c>
      <c r="F1892" s="546">
        <v>0.38</v>
      </c>
      <c r="G1892" s="547">
        <v>13.22</v>
      </c>
      <c r="H1892" s="548"/>
      <c r="I1892" s="547">
        <f>F1892*G1892</f>
        <v>5.0236000000000001</v>
      </c>
      <c r="J1892" s="549"/>
      <c r="K1892" s="548"/>
      <c r="L1892" s="547"/>
      <c r="M1892" s="549"/>
      <c r="N1892" s="550"/>
      <c r="O1892" s="551"/>
    </row>
    <row r="1893" spans="1:15" s="552" customFormat="1" ht="15" customHeight="1" x14ac:dyDescent="0.25">
      <c r="A1893" s="543"/>
      <c r="B1893" s="544" t="s">
        <v>657</v>
      </c>
      <c r="C1893" s="513">
        <v>130</v>
      </c>
      <c r="D1893" s="545" t="s">
        <v>1402</v>
      </c>
      <c r="E1893" s="514" t="s">
        <v>97</v>
      </c>
      <c r="F1893" s="546">
        <v>21</v>
      </c>
      <c r="G1893" s="547">
        <v>7.06</v>
      </c>
      <c r="H1893" s="548">
        <f t="shared" ref="H1893" si="272">F1893*G1893</f>
        <v>148.26</v>
      </c>
      <c r="I1893" s="547"/>
      <c r="J1893" s="549"/>
      <c r="K1893" s="548"/>
      <c r="L1893" s="547"/>
      <c r="M1893" s="549"/>
      <c r="N1893" s="550"/>
      <c r="O1893" s="551"/>
    </row>
    <row r="1894" spans="1:15" s="23" customFormat="1" ht="14.25" x14ac:dyDescent="0.2">
      <c r="A1894" s="134"/>
      <c r="B1894" s="129"/>
      <c r="C1894" s="29"/>
      <c r="D1894" s="117" t="s">
        <v>83</v>
      </c>
      <c r="E1894" s="30"/>
      <c r="F1894" s="118"/>
      <c r="G1894" s="31"/>
      <c r="H1894" s="104"/>
      <c r="I1894" s="27"/>
      <c r="J1894" s="105"/>
      <c r="K1894" s="104"/>
      <c r="L1894" s="27"/>
      <c r="M1894" s="105"/>
      <c r="N1894" s="92"/>
      <c r="O1894" s="92"/>
    </row>
    <row r="1895" spans="1:15" s="23" customFormat="1" ht="22.5" x14ac:dyDescent="0.2">
      <c r="A1895" s="223" t="s">
        <v>79</v>
      </c>
      <c r="B1895" s="571">
        <v>6003000097</v>
      </c>
      <c r="C1895" s="225" t="s">
        <v>792</v>
      </c>
      <c r="D1895" s="232" t="s">
        <v>1403</v>
      </c>
      <c r="E1895" s="225" t="s">
        <v>94</v>
      </c>
      <c r="F1895" s="515">
        <f>'MEMÓRIA DE CÁLCULO'!F324</f>
        <v>7.5600000000000005</v>
      </c>
      <c r="G1895" s="228"/>
      <c r="H1895" s="229">
        <f>ROUND(SUM(H1897:H1897),2)</f>
        <v>1.6</v>
      </c>
      <c r="I1895" s="229">
        <f>ROUND(SUM(I1896:I1897),2)</f>
        <v>0.63</v>
      </c>
      <c r="J1895" s="231">
        <f>(H1895+I1895)</f>
        <v>2.23</v>
      </c>
      <c r="K1895" s="229">
        <f>F1895*H1895</f>
        <v>12.096000000000002</v>
      </c>
      <c r="L1895" s="230">
        <f>F1895*I1895</f>
        <v>4.7628000000000004</v>
      </c>
      <c r="M1895" s="231">
        <f>K1895+L1895</f>
        <v>16.858800000000002</v>
      </c>
      <c r="N1895" s="227">
        <f>M1895*$N$7</f>
        <v>4.5653630400000003</v>
      </c>
      <c r="O1895" s="227">
        <f>M1895+N1895</f>
        <v>21.424163040000003</v>
      </c>
    </row>
    <row r="1896" spans="1:15" s="552" customFormat="1" ht="15" customHeight="1" x14ac:dyDescent="0.25">
      <c r="A1896" s="543"/>
      <c r="B1896" s="544" t="s">
        <v>658</v>
      </c>
      <c r="C1896" s="513">
        <v>4750</v>
      </c>
      <c r="D1896" s="545" t="s">
        <v>679</v>
      </c>
      <c r="E1896" s="514" t="s">
        <v>42</v>
      </c>
      <c r="F1896" s="546">
        <v>0.05</v>
      </c>
      <c r="G1896" s="547">
        <v>12.57</v>
      </c>
      <c r="H1896" s="548"/>
      <c r="I1896" s="547">
        <f>F1896*G1896</f>
        <v>0.62850000000000006</v>
      </c>
      <c r="J1896" s="549"/>
      <c r="K1896" s="548"/>
      <c r="L1896" s="547"/>
      <c r="M1896" s="549"/>
      <c r="N1896" s="550"/>
      <c r="O1896" s="551"/>
    </row>
    <row r="1897" spans="1:15" s="552" customFormat="1" ht="15" customHeight="1" x14ac:dyDescent="0.25">
      <c r="A1897" s="543"/>
      <c r="B1897" s="544"/>
      <c r="C1897" s="513"/>
      <c r="D1897" s="545" t="s">
        <v>1404</v>
      </c>
      <c r="E1897" s="514" t="s">
        <v>56</v>
      </c>
      <c r="F1897" s="546">
        <v>1.05</v>
      </c>
      <c r="G1897" s="547">
        <v>1.52</v>
      </c>
      <c r="H1897" s="548">
        <f t="shared" ref="H1897" si="273">F1897*G1897</f>
        <v>1.5960000000000001</v>
      </c>
      <c r="I1897" s="547"/>
      <c r="J1897" s="549"/>
      <c r="K1897" s="548"/>
      <c r="L1897" s="547"/>
      <c r="M1897" s="549"/>
      <c r="N1897" s="550"/>
      <c r="O1897" s="551"/>
    </row>
    <row r="1898" spans="1:15" s="23" customFormat="1" ht="14.25" x14ac:dyDescent="0.2">
      <c r="A1898" s="134"/>
      <c r="B1898" s="129"/>
      <c r="C1898" s="29"/>
      <c r="D1898" s="117"/>
      <c r="E1898" s="30"/>
      <c r="F1898" s="476"/>
      <c r="G1898" s="477"/>
      <c r="H1898" s="478"/>
      <c r="I1898" s="735"/>
      <c r="J1898" s="480"/>
      <c r="K1898" s="478"/>
      <c r="L1898" s="479"/>
      <c r="M1898" s="480"/>
      <c r="N1898" s="92"/>
      <c r="O1898" s="92"/>
    </row>
    <row r="1899" spans="1:15" s="23" customFormat="1" ht="14.25" x14ac:dyDescent="0.2">
      <c r="A1899" s="134"/>
      <c r="B1899" s="129"/>
      <c r="C1899" s="29"/>
      <c r="D1899" s="736" t="s">
        <v>1414</v>
      </c>
      <c r="E1899" s="30"/>
      <c r="F1899" s="476"/>
      <c r="G1899" s="477"/>
      <c r="H1899" s="478"/>
      <c r="I1899" s="735"/>
      <c r="J1899" s="480"/>
      <c r="K1899" s="478"/>
      <c r="L1899" s="479"/>
      <c r="M1899" s="480"/>
      <c r="N1899" s="92"/>
      <c r="O1899" s="92"/>
    </row>
    <row r="1900" spans="1:15" s="23" customFormat="1" ht="30" customHeight="1" x14ac:dyDescent="0.2">
      <c r="A1900" s="223" t="s">
        <v>78</v>
      </c>
      <c r="B1900" s="224">
        <v>83692</v>
      </c>
      <c r="C1900" s="225" t="s">
        <v>792</v>
      </c>
      <c r="D1900" s="232" t="s">
        <v>1419</v>
      </c>
      <c r="E1900" s="225" t="s">
        <v>81</v>
      </c>
      <c r="F1900" s="515">
        <v>1</v>
      </c>
      <c r="G1900" s="228"/>
      <c r="H1900" s="229">
        <f>ROUND(SUM(H1901:H1905),2)</f>
        <v>478.15</v>
      </c>
      <c r="I1900" s="229">
        <f>ROUND(SUM(I1901:I1905),2)</f>
        <v>32.24</v>
      </c>
      <c r="J1900" s="231">
        <f>(H1900+I1900)</f>
        <v>510.39</v>
      </c>
      <c r="K1900" s="229">
        <f>F1900*H1900</f>
        <v>478.15</v>
      </c>
      <c r="L1900" s="230">
        <f>F1900*I1900</f>
        <v>32.24</v>
      </c>
      <c r="M1900" s="231">
        <f>K1900+L1900</f>
        <v>510.39</v>
      </c>
      <c r="N1900" s="227">
        <f>M1900*$N$7</f>
        <v>138.21361199999998</v>
      </c>
      <c r="O1900" s="227">
        <f>M1900+N1900</f>
        <v>648.603612</v>
      </c>
    </row>
    <row r="1901" spans="1:15" s="552" customFormat="1" ht="15" customHeight="1" x14ac:dyDescent="0.25">
      <c r="A1901" s="543"/>
      <c r="B1901" s="544" t="s">
        <v>658</v>
      </c>
      <c r="C1901" s="513">
        <v>4750</v>
      </c>
      <c r="D1901" s="545" t="s">
        <v>679</v>
      </c>
      <c r="E1901" s="514" t="s">
        <v>42</v>
      </c>
      <c r="F1901" s="546">
        <v>1.5</v>
      </c>
      <c r="G1901" s="547">
        <v>12.57</v>
      </c>
      <c r="H1901" s="548"/>
      <c r="I1901" s="547">
        <f>F1901*G1901</f>
        <v>18.855</v>
      </c>
      <c r="J1901" s="549"/>
      <c r="K1901" s="548"/>
      <c r="L1901" s="547"/>
      <c r="M1901" s="549"/>
      <c r="N1901" s="550"/>
      <c r="O1901" s="551"/>
    </row>
    <row r="1902" spans="1:15" s="552" customFormat="1" ht="15" customHeight="1" x14ac:dyDescent="0.25">
      <c r="A1902" s="543"/>
      <c r="B1902" s="544" t="s">
        <v>658</v>
      </c>
      <c r="C1902" s="513">
        <v>6111</v>
      </c>
      <c r="D1902" s="545" t="s">
        <v>670</v>
      </c>
      <c r="E1902" s="514" t="s">
        <v>42</v>
      </c>
      <c r="F1902" s="546">
        <v>1.5</v>
      </c>
      <c r="G1902" s="547">
        <v>8.92</v>
      </c>
      <c r="H1902" s="548"/>
      <c r="I1902" s="547">
        <f>F1902*G1902</f>
        <v>13.379999999999999</v>
      </c>
      <c r="J1902" s="549"/>
      <c r="K1902" s="548"/>
      <c r="L1902" s="547"/>
      <c r="M1902" s="549"/>
      <c r="N1902" s="550"/>
      <c r="O1902" s="551"/>
    </row>
    <row r="1903" spans="1:15" s="552" customFormat="1" ht="15" customHeight="1" x14ac:dyDescent="0.25">
      <c r="A1903" s="543"/>
      <c r="B1903" s="544"/>
      <c r="C1903" s="513"/>
      <c r="D1903" s="545" t="s">
        <v>761</v>
      </c>
      <c r="E1903" s="514" t="s">
        <v>233</v>
      </c>
      <c r="F1903" s="546">
        <v>2.1899999999999999E-2</v>
      </c>
      <c r="G1903" s="547">
        <v>54.27</v>
      </c>
      <c r="H1903" s="548">
        <f>F1903*G1903</f>
        <v>1.1885129999999999</v>
      </c>
      <c r="I1903" s="547"/>
      <c r="J1903" s="549"/>
      <c r="K1903" s="548"/>
      <c r="L1903" s="547"/>
      <c r="M1903" s="549"/>
      <c r="N1903" s="550"/>
      <c r="O1903" s="551"/>
    </row>
    <row r="1904" spans="1:15" s="552" customFormat="1" ht="15" customHeight="1" x14ac:dyDescent="0.25">
      <c r="A1904" s="543"/>
      <c r="B1904" s="544"/>
      <c r="C1904" s="513"/>
      <c r="D1904" s="545" t="s">
        <v>762</v>
      </c>
      <c r="E1904" s="514" t="s">
        <v>48</v>
      </c>
      <c r="F1904" s="546">
        <v>9.94</v>
      </c>
      <c r="G1904" s="547">
        <v>0.44</v>
      </c>
      <c r="H1904" s="548">
        <f>F1904*G1904</f>
        <v>4.3735999999999997</v>
      </c>
      <c r="I1904" s="547"/>
      <c r="J1904" s="549"/>
      <c r="K1904" s="548"/>
      <c r="L1904" s="547"/>
      <c r="M1904" s="549"/>
      <c r="N1904" s="550"/>
      <c r="O1904" s="551"/>
    </row>
    <row r="1905" spans="1:15" s="552" customFormat="1" ht="21" customHeight="1" x14ac:dyDescent="0.25">
      <c r="A1905" s="543"/>
      <c r="B1905" s="544" t="s">
        <v>657</v>
      </c>
      <c r="C1905" s="513">
        <v>11291</v>
      </c>
      <c r="D1905" s="545" t="str">
        <f>D1900</f>
        <v>TAMPAO  ARTICULADO ESTANQUE P/ POCO DE VISITA - Fechamento por parafuso sextavado  - Referência Técnica: TQ 60 - FE 50007 ferro nodular- Fuminas ou similar.</v>
      </c>
      <c r="E1905" s="514" t="s">
        <v>81</v>
      </c>
      <c r="F1905" s="546">
        <v>1</v>
      </c>
      <c r="G1905" s="547">
        <v>472.59</v>
      </c>
      <c r="H1905" s="548">
        <f t="shared" ref="H1905" si="274">F1905*G1905</f>
        <v>472.59</v>
      </c>
      <c r="I1905" s="547"/>
      <c r="J1905" s="549"/>
      <c r="K1905" s="548"/>
      <c r="L1905" s="547"/>
      <c r="M1905" s="549"/>
      <c r="N1905" s="550"/>
      <c r="O1905" s="551"/>
    </row>
    <row r="1906" spans="1:15" s="23" customFormat="1" ht="14.25" x14ac:dyDescent="0.2">
      <c r="A1906" s="134"/>
      <c r="B1906" s="129"/>
      <c r="C1906" s="29"/>
      <c r="D1906" s="117" t="s">
        <v>83</v>
      </c>
      <c r="E1906" s="30"/>
      <c r="F1906" s="118"/>
      <c r="G1906" s="31"/>
      <c r="H1906" s="104"/>
      <c r="I1906" s="27"/>
      <c r="J1906" s="105"/>
      <c r="K1906" s="104"/>
      <c r="L1906" s="27"/>
      <c r="M1906" s="105"/>
      <c r="N1906" s="92"/>
      <c r="O1906" s="92"/>
    </row>
    <row r="1907" spans="1:15" s="23" customFormat="1" ht="14.25" x14ac:dyDescent="0.2">
      <c r="A1907" s="134"/>
      <c r="B1907" s="129"/>
      <c r="C1907" s="29"/>
      <c r="D1907" s="736" t="s">
        <v>1415</v>
      </c>
      <c r="E1907" s="30"/>
      <c r="F1907" s="476"/>
      <c r="G1907" s="477"/>
      <c r="H1907" s="478"/>
      <c r="I1907" s="735"/>
      <c r="J1907" s="480"/>
      <c r="K1907" s="478"/>
      <c r="L1907" s="479"/>
      <c r="M1907" s="480"/>
      <c r="N1907" s="92"/>
      <c r="O1907" s="92"/>
    </row>
    <row r="1908" spans="1:15" s="23" customFormat="1" ht="56.25" x14ac:dyDescent="0.2">
      <c r="A1908" s="223" t="s">
        <v>78</v>
      </c>
      <c r="B1908" s="224">
        <v>83646</v>
      </c>
      <c r="C1908" s="225" t="s">
        <v>792</v>
      </c>
      <c r="D1908" s="232" t="s">
        <v>1422</v>
      </c>
      <c r="E1908" s="225" t="s">
        <v>81</v>
      </c>
      <c r="F1908" s="515">
        <v>2</v>
      </c>
      <c r="G1908" s="228"/>
      <c r="H1908" s="229">
        <f>ROUND(SUM(H1909:H1911),2)</f>
        <v>2656</v>
      </c>
      <c r="I1908" s="229">
        <f>ROUND(SUM(I1909:I1911),2)</f>
        <v>171.11</v>
      </c>
      <c r="J1908" s="231">
        <f>(H1908+I1908)</f>
        <v>2827.11</v>
      </c>
      <c r="K1908" s="229">
        <f>F1908*H1908</f>
        <v>5312</v>
      </c>
      <c r="L1908" s="230">
        <f>F1908*I1908</f>
        <v>342.22</v>
      </c>
      <c r="M1908" s="231">
        <f>K1908+L1908</f>
        <v>5654.22</v>
      </c>
      <c r="N1908" s="227">
        <f>M1908*$N$7</f>
        <v>1531.1627759999999</v>
      </c>
      <c r="O1908" s="227">
        <f>M1908+N1908</f>
        <v>7185.3827760000004</v>
      </c>
    </row>
    <row r="1909" spans="1:15" s="552" customFormat="1" ht="15" customHeight="1" x14ac:dyDescent="0.25">
      <c r="A1909" s="543"/>
      <c r="B1909" s="544" t="s">
        <v>658</v>
      </c>
      <c r="C1909" s="513"/>
      <c r="D1909" s="545" t="s">
        <v>1420</v>
      </c>
      <c r="E1909" s="514" t="s">
        <v>42</v>
      </c>
      <c r="F1909" s="546">
        <v>6.1</v>
      </c>
      <c r="G1909" s="547">
        <v>11.19</v>
      </c>
      <c r="H1909" s="548"/>
      <c r="I1909" s="547">
        <f>F1909*G1909</f>
        <v>68.258999999999986</v>
      </c>
      <c r="J1909" s="549"/>
      <c r="K1909" s="548"/>
      <c r="L1909" s="547"/>
      <c r="M1909" s="549"/>
      <c r="N1909" s="550"/>
      <c r="O1909" s="551"/>
    </row>
    <row r="1910" spans="1:15" s="552" customFormat="1" ht="15" customHeight="1" x14ac:dyDescent="0.25">
      <c r="A1910" s="543"/>
      <c r="B1910" s="544" t="s">
        <v>658</v>
      </c>
      <c r="C1910" s="513"/>
      <c r="D1910" s="545" t="s">
        <v>1421</v>
      </c>
      <c r="E1910" s="514" t="s">
        <v>42</v>
      </c>
      <c r="F1910" s="546">
        <v>6.1</v>
      </c>
      <c r="G1910" s="547">
        <v>16.86</v>
      </c>
      <c r="H1910" s="548"/>
      <c r="I1910" s="547">
        <f>F1910*G1910</f>
        <v>102.84599999999999</v>
      </c>
      <c r="J1910" s="549"/>
      <c r="K1910" s="548"/>
      <c r="L1910" s="547"/>
      <c r="M1910" s="549"/>
      <c r="N1910" s="550"/>
      <c r="O1910" s="551"/>
    </row>
    <row r="1911" spans="1:15" s="552" customFormat="1" ht="39" customHeight="1" x14ac:dyDescent="0.25">
      <c r="A1911" s="543"/>
      <c r="B1911" s="544"/>
      <c r="C1911" s="513" t="s">
        <v>80</v>
      </c>
      <c r="D1911" s="545" t="str">
        <f>D1908</f>
        <v>Moto bomba  Jacaré trituradora com um rotor aberto 116 mm , passagem de sólidos de 20- mm, acoplada a um motor de indução de 2 Cv trifásico 220/380/440 v  - saída de 2 polegadas - vazão Max. 12,1 m³/h em 22 mca - com sistema triturador de sólidos e tecidos fibrosos em geral  - Referência Técnica: Famac FBS ou similar</v>
      </c>
      <c r="E1911" s="514" t="s">
        <v>233</v>
      </c>
      <c r="F1911" s="546">
        <v>1</v>
      </c>
      <c r="G1911" s="547">
        <v>2656</v>
      </c>
      <c r="H1911" s="548">
        <f>F1911*G1911</f>
        <v>2656</v>
      </c>
      <c r="I1911" s="547"/>
      <c r="J1911" s="549"/>
      <c r="K1911" s="548"/>
      <c r="L1911" s="547"/>
      <c r="M1911" s="549"/>
      <c r="N1911" s="550"/>
      <c r="O1911" s="551"/>
    </row>
    <row r="1912" spans="1:15" s="23" customFormat="1" ht="14.25" x14ac:dyDescent="0.2">
      <c r="A1912" s="134"/>
      <c r="B1912" s="129"/>
      <c r="C1912" s="29"/>
      <c r="D1912" s="117" t="s">
        <v>83</v>
      </c>
      <c r="E1912" s="30"/>
      <c r="F1912" s="118"/>
      <c r="G1912" s="31"/>
      <c r="H1912" s="104"/>
      <c r="I1912" s="27"/>
      <c r="J1912" s="105"/>
      <c r="K1912" s="104"/>
      <c r="L1912" s="27"/>
      <c r="M1912" s="105"/>
      <c r="N1912" s="92"/>
      <c r="O1912" s="92"/>
    </row>
    <row r="1913" spans="1:15" x14ac:dyDescent="0.25">
      <c r="A1913" s="158"/>
    </row>
    <row r="1914" spans="1:15" x14ac:dyDescent="0.25">
      <c r="A1914" s="158"/>
    </row>
    <row r="1915" spans="1:15" x14ac:dyDescent="0.25">
      <c r="A1915" s="158"/>
    </row>
    <row r="1916" spans="1:15" x14ac:dyDescent="0.25">
      <c r="A1916" s="158"/>
    </row>
    <row r="1917" spans="1:15" x14ac:dyDescent="0.25">
      <c r="A1917" s="158"/>
    </row>
    <row r="1918" spans="1:15" x14ac:dyDescent="0.25">
      <c r="A1918" s="158"/>
    </row>
    <row r="1919" spans="1:15" x14ac:dyDescent="0.25">
      <c r="A1919" s="158"/>
    </row>
    <row r="1920" spans="1:15" x14ac:dyDescent="0.25">
      <c r="A1920" s="158"/>
    </row>
    <row r="1921" spans="1:1" x14ac:dyDescent="0.25">
      <c r="A1921" s="158"/>
    </row>
    <row r="1922" spans="1:1" x14ac:dyDescent="0.25">
      <c r="A1922" s="158"/>
    </row>
    <row r="1923" spans="1:1" x14ac:dyDescent="0.25">
      <c r="A1923" s="158"/>
    </row>
    <row r="1924" spans="1:1" x14ac:dyDescent="0.25">
      <c r="A1924" s="158"/>
    </row>
    <row r="1925" spans="1:1" x14ac:dyDescent="0.25">
      <c r="A1925" s="158"/>
    </row>
    <row r="1926" spans="1:1" x14ac:dyDescent="0.25">
      <c r="A1926" s="158"/>
    </row>
    <row r="1927" spans="1:1" x14ac:dyDescent="0.25">
      <c r="A1927" s="158"/>
    </row>
    <row r="1928" spans="1:1" x14ac:dyDescent="0.25">
      <c r="A1928" s="158"/>
    </row>
    <row r="1929" spans="1:1" x14ac:dyDescent="0.25">
      <c r="A1929" s="158"/>
    </row>
    <row r="1930" spans="1:1" x14ac:dyDescent="0.25">
      <c r="A1930" s="158"/>
    </row>
    <row r="1931" spans="1:1" x14ac:dyDescent="0.25">
      <c r="A1931" s="158"/>
    </row>
    <row r="1932" spans="1:1" x14ac:dyDescent="0.25">
      <c r="A1932" s="158"/>
    </row>
    <row r="1933" spans="1:1" x14ac:dyDescent="0.25">
      <c r="A1933" s="158"/>
    </row>
    <row r="1934" spans="1:1" x14ac:dyDescent="0.25">
      <c r="A1934" s="158"/>
    </row>
    <row r="1935" spans="1:1" x14ac:dyDescent="0.25">
      <c r="A1935" s="158"/>
    </row>
    <row r="1936" spans="1:1" x14ac:dyDescent="0.25">
      <c r="A1936" s="158"/>
    </row>
    <row r="1937" spans="1:1" x14ac:dyDescent="0.25">
      <c r="A1937" s="158"/>
    </row>
    <row r="1938" spans="1:1" x14ac:dyDescent="0.25">
      <c r="A1938" s="158"/>
    </row>
    <row r="1939" spans="1:1" x14ac:dyDescent="0.25">
      <c r="A1939" s="158"/>
    </row>
    <row r="1940" spans="1:1" x14ac:dyDescent="0.25">
      <c r="A1940" s="158"/>
    </row>
    <row r="1941" spans="1:1" x14ac:dyDescent="0.25">
      <c r="A1941" s="158"/>
    </row>
    <row r="1942" spans="1:1" x14ac:dyDescent="0.25">
      <c r="A1942" s="158"/>
    </row>
    <row r="1943" spans="1:1" x14ac:dyDescent="0.25">
      <c r="A1943" s="158"/>
    </row>
    <row r="1944" spans="1:1" x14ac:dyDescent="0.25">
      <c r="A1944" s="158"/>
    </row>
    <row r="1945" spans="1:1" x14ac:dyDescent="0.25">
      <c r="A1945" s="158"/>
    </row>
    <row r="1946" spans="1:1" x14ac:dyDescent="0.25">
      <c r="A1946" s="158"/>
    </row>
    <row r="1947" spans="1:1" x14ac:dyDescent="0.25">
      <c r="A1947" s="158"/>
    </row>
    <row r="1948" spans="1:1" x14ac:dyDescent="0.25">
      <c r="A1948" s="158"/>
    </row>
    <row r="1949" spans="1:1" x14ac:dyDescent="0.25">
      <c r="A1949" s="158"/>
    </row>
    <row r="1950" spans="1:1" x14ac:dyDescent="0.25">
      <c r="A1950" s="158"/>
    </row>
    <row r="1951" spans="1:1" x14ac:dyDescent="0.25">
      <c r="A1951" s="158"/>
    </row>
    <row r="1952" spans="1:1" x14ac:dyDescent="0.25">
      <c r="A1952" s="158"/>
    </row>
    <row r="1953" spans="1:1" x14ac:dyDescent="0.25">
      <c r="A1953" s="158"/>
    </row>
    <row r="1954" spans="1:1" x14ac:dyDescent="0.25">
      <c r="A1954" s="158"/>
    </row>
    <row r="1955" spans="1:1" x14ac:dyDescent="0.25">
      <c r="A1955" s="158"/>
    </row>
    <row r="1956" spans="1:1" x14ac:dyDescent="0.25">
      <c r="A1956" s="158"/>
    </row>
    <row r="1957" spans="1:1" x14ac:dyDescent="0.25">
      <c r="A1957" s="158"/>
    </row>
    <row r="1958" spans="1:1" x14ac:dyDescent="0.25">
      <c r="A1958" s="158"/>
    </row>
    <row r="1959" spans="1:1" x14ac:dyDescent="0.25">
      <c r="A1959" s="158"/>
    </row>
    <row r="1960" spans="1:1" x14ac:dyDescent="0.25">
      <c r="A1960" s="158"/>
    </row>
    <row r="1961" spans="1:1" x14ac:dyDescent="0.25">
      <c r="A1961" s="158"/>
    </row>
    <row r="1962" spans="1:1" x14ac:dyDescent="0.25">
      <c r="A1962" s="158"/>
    </row>
    <row r="1963" spans="1:1" x14ac:dyDescent="0.25">
      <c r="A1963" s="158"/>
    </row>
    <row r="1964" spans="1:1" x14ac:dyDescent="0.25">
      <c r="A1964" s="158"/>
    </row>
    <row r="1965" spans="1:1" x14ac:dyDescent="0.25">
      <c r="A1965" s="158"/>
    </row>
    <row r="1966" spans="1:1" x14ac:dyDescent="0.25">
      <c r="A1966" s="158"/>
    </row>
    <row r="1967" spans="1:1" x14ac:dyDescent="0.25">
      <c r="A1967" s="158"/>
    </row>
    <row r="1968" spans="1:1" x14ac:dyDescent="0.25">
      <c r="A1968" s="158"/>
    </row>
    <row r="1969" spans="1:1" x14ac:dyDescent="0.25">
      <c r="A1969" s="158"/>
    </row>
    <row r="1970" spans="1:1" x14ac:dyDescent="0.25">
      <c r="A1970" s="158"/>
    </row>
    <row r="1971" spans="1:1" x14ac:dyDescent="0.25">
      <c r="A1971" s="158"/>
    </row>
    <row r="1972" spans="1:1" x14ac:dyDescent="0.25">
      <c r="A1972" s="158"/>
    </row>
    <row r="1973" spans="1:1" x14ac:dyDescent="0.25">
      <c r="A1973" s="158"/>
    </row>
    <row r="1974" spans="1:1" x14ac:dyDescent="0.25">
      <c r="A1974" s="158"/>
    </row>
    <row r="1975" spans="1:1" x14ac:dyDescent="0.25">
      <c r="A1975" s="158"/>
    </row>
    <row r="1976" spans="1:1" x14ac:dyDescent="0.25">
      <c r="A1976" s="158"/>
    </row>
    <row r="1977" spans="1:1" x14ac:dyDescent="0.25">
      <c r="A1977" s="158"/>
    </row>
    <row r="1978" spans="1:1" x14ac:dyDescent="0.25">
      <c r="A1978" s="158"/>
    </row>
    <row r="1979" spans="1:1" x14ac:dyDescent="0.25">
      <c r="A1979" s="158"/>
    </row>
    <row r="1980" spans="1:1" x14ac:dyDescent="0.25">
      <c r="A1980" s="158"/>
    </row>
    <row r="1981" spans="1:1" x14ac:dyDescent="0.25">
      <c r="A1981" s="158"/>
    </row>
    <row r="1982" spans="1:1" x14ac:dyDescent="0.25">
      <c r="A1982" s="158"/>
    </row>
    <row r="1983" spans="1:1" x14ac:dyDescent="0.25">
      <c r="A1983" s="158"/>
    </row>
    <row r="1984" spans="1:1" x14ac:dyDescent="0.25">
      <c r="A1984" s="158"/>
    </row>
    <row r="1985" spans="1:1" x14ac:dyDescent="0.25">
      <c r="A1985" s="158"/>
    </row>
    <row r="1986" spans="1:1" x14ac:dyDescent="0.25">
      <c r="A1986" s="158"/>
    </row>
    <row r="1987" spans="1:1" x14ac:dyDescent="0.25">
      <c r="A1987" s="158"/>
    </row>
    <row r="1988" spans="1:1" x14ac:dyDescent="0.25">
      <c r="A1988" s="158"/>
    </row>
    <row r="1989" spans="1:1" x14ac:dyDescent="0.25">
      <c r="A1989" s="158"/>
    </row>
    <row r="1990" spans="1:1" x14ac:dyDescent="0.25">
      <c r="A1990" s="158"/>
    </row>
    <row r="1991" spans="1:1" x14ac:dyDescent="0.25">
      <c r="A1991" s="158"/>
    </row>
    <row r="1992" spans="1:1" x14ac:dyDescent="0.25">
      <c r="A1992" s="158"/>
    </row>
    <row r="1993" spans="1:1" x14ac:dyDescent="0.25">
      <c r="A1993" s="158"/>
    </row>
    <row r="1994" spans="1:1" x14ac:dyDescent="0.25">
      <c r="A1994" s="158"/>
    </row>
    <row r="1995" spans="1:1" x14ac:dyDescent="0.25">
      <c r="A1995" s="158"/>
    </row>
    <row r="1996" spans="1:1" x14ac:dyDescent="0.25">
      <c r="A1996" s="158"/>
    </row>
    <row r="1997" spans="1:1" x14ac:dyDescent="0.25">
      <c r="A1997" s="158"/>
    </row>
    <row r="1998" spans="1:1" x14ac:dyDescent="0.25">
      <c r="A1998" s="158"/>
    </row>
    <row r="1999" spans="1:1" x14ac:dyDescent="0.25">
      <c r="A1999" s="158"/>
    </row>
    <row r="2000" spans="1:1" x14ac:dyDescent="0.25">
      <c r="A2000" s="158"/>
    </row>
    <row r="2001" spans="1:1" x14ac:dyDescent="0.25">
      <c r="A2001" s="158"/>
    </row>
    <row r="2002" spans="1:1" x14ac:dyDescent="0.25">
      <c r="A2002" s="158"/>
    </row>
    <row r="2003" spans="1:1" x14ac:dyDescent="0.25">
      <c r="A2003" s="158"/>
    </row>
    <row r="2004" spans="1:1" x14ac:dyDescent="0.25">
      <c r="A2004" s="158"/>
    </row>
    <row r="2005" spans="1:1" x14ac:dyDescent="0.25">
      <c r="A2005" s="158"/>
    </row>
    <row r="2006" spans="1:1" x14ac:dyDescent="0.25">
      <c r="A2006" s="158"/>
    </row>
    <row r="2007" spans="1:1" x14ac:dyDescent="0.25">
      <c r="A2007" s="158"/>
    </row>
    <row r="2008" spans="1:1" x14ac:dyDescent="0.25">
      <c r="A2008" s="158"/>
    </row>
    <row r="2009" spans="1:1" x14ac:dyDescent="0.25">
      <c r="A2009" s="158"/>
    </row>
    <row r="2010" spans="1:1" x14ac:dyDescent="0.25">
      <c r="A2010" s="158"/>
    </row>
    <row r="2011" spans="1:1" x14ac:dyDescent="0.25">
      <c r="A2011" s="158"/>
    </row>
    <row r="2012" spans="1:1" x14ac:dyDescent="0.25">
      <c r="A2012" s="158"/>
    </row>
    <row r="2013" spans="1:1" x14ac:dyDescent="0.25">
      <c r="A2013" s="158"/>
    </row>
    <row r="2014" spans="1:1" x14ac:dyDescent="0.25">
      <c r="A2014" s="158"/>
    </row>
    <row r="2015" spans="1:1" x14ac:dyDescent="0.25">
      <c r="A2015" s="158"/>
    </row>
    <row r="2016" spans="1:1" x14ac:dyDescent="0.25">
      <c r="A2016" s="158"/>
    </row>
    <row r="2017" spans="1:1" x14ac:dyDescent="0.25">
      <c r="A2017" s="158"/>
    </row>
    <row r="2018" spans="1:1" x14ac:dyDescent="0.25">
      <c r="A2018" s="158"/>
    </row>
    <row r="2019" spans="1:1" x14ac:dyDescent="0.25">
      <c r="A2019" s="158"/>
    </row>
    <row r="2020" spans="1:1" x14ac:dyDescent="0.25">
      <c r="A2020" s="158"/>
    </row>
    <row r="2021" spans="1:1" x14ac:dyDescent="0.25">
      <c r="A2021" s="158"/>
    </row>
    <row r="2022" spans="1:1" x14ac:dyDescent="0.25">
      <c r="A2022" s="158"/>
    </row>
    <row r="2023" spans="1:1" x14ac:dyDescent="0.25">
      <c r="A2023" s="158"/>
    </row>
    <row r="2024" spans="1:1" x14ac:dyDescent="0.25">
      <c r="A2024" s="158"/>
    </row>
    <row r="2025" spans="1:1" x14ac:dyDescent="0.25">
      <c r="A2025" s="158"/>
    </row>
    <row r="2026" spans="1:1" x14ac:dyDescent="0.25">
      <c r="A2026" s="158"/>
    </row>
    <row r="2027" spans="1:1" x14ac:dyDescent="0.25">
      <c r="A2027" s="158"/>
    </row>
    <row r="2028" spans="1:1" x14ac:dyDescent="0.25">
      <c r="A2028" s="158"/>
    </row>
    <row r="2029" spans="1:1" x14ac:dyDescent="0.25">
      <c r="A2029" s="158"/>
    </row>
    <row r="2030" spans="1:1" x14ac:dyDescent="0.25">
      <c r="A2030" s="158"/>
    </row>
    <row r="2031" spans="1:1" x14ac:dyDescent="0.25">
      <c r="A2031" s="158"/>
    </row>
    <row r="2032" spans="1:1" x14ac:dyDescent="0.25">
      <c r="A2032" s="158"/>
    </row>
    <row r="2033" spans="1:1" x14ac:dyDescent="0.25">
      <c r="A2033" s="158"/>
    </row>
    <row r="2034" spans="1:1" x14ac:dyDescent="0.25">
      <c r="A2034" s="158"/>
    </row>
    <row r="2035" spans="1:1" x14ac:dyDescent="0.25">
      <c r="A2035" s="158"/>
    </row>
    <row r="2036" spans="1:1" x14ac:dyDescent="0.25">
      <c r="A2036" s="158"/>
    </row>
    <row r="2037" spans="1:1" x14ac:dyDescent="0.25">
      <c r="A2037" s="158"/>
    </row>
    <row r="2038" spans="1:1" x14ac:dyDescent="0.25">
      <c r="A2038" s="158"/>
    </row>
    <row r="2039" spans="1:1" x14ac:dyDescent="0.25">
      <c r="A2039" s="158"/>
    </row>
    <row r="2040" spans="1:1" x14ac:dyDescent="0.25">
      <c r="A2040" s="158"/>
    </row>
    <row r="2041" spans="1:1" x14ac:dyDescent="0.25">
      <c r="A2041" s="158"/>
    </row>
    <row r="2042" spans="1:1" x14ac:dyDescent="0.25">
      <c r="A2042" s="158"/>
    </row>
    <row r="2043" spans="1:1" x14ac:dyDescent="0.25">
      <c r="A2043" s="158"/>
    </row>
    <row r="2044" spans="1:1" x14ac:dyDescent="0.25">
      <c r="A2044" s="158"/>
    </row>
    <row r="2045" spans="1:1" x14ac:dyDescent="0.25">
      <c r="A2045" s="158"/>
    </row>
    <row r="2046" spans="1:1" x14ac:dyDescent="0.25">
      <c r="A2046" s="158"/>
    </row>
    <row r="2047" spans="1:1" x14ac:dyDescent="0.25">
      <c r="A2047" s="158"/>
    </row>
    <row r="2048" spans="1:1" x14ac:dyDescent="0.25">
      <c r="A2048" s="158"/>
    </row>
    <row r="2049" spans="1:1" x14ac:dyDescent="0.25">
      <c r="A2049" s="158"/>
    </row>
    <row r="2050" spans="1:1" x14ac:dyDescent="0.25">
      <c r="A2050" s="158"/>
    </row>
    <row r="2051" spans="1:1" x14ac:dyDescent="0.25">
      <c r="A2051" s="158"/>
    </row>
    <row r="2052" spans="1:1" x14ac:dyDescent="0.25">
      <c r="A2052" s="158"/>
    </row>
    <row r="2053" spans="1:1" x14ac:dyDescent="0.25">
      <c r="A2053" s="158"/>
    </row>
    <row r="2054" spans="1:1" x14ac:dyDescent="0.25">
      <c r="A2054" s="158"/>
    </row>
    <row r="2055" spans="1:1" x14ac:dyDescent="0.25">
      <c r="A2055" s="158"/>
    </row>
    <row r="2056" spans="1:1" x14ac:dyDescent="0.25">
      <c r="A2056" s="158"/>
    </row>
    <row r="2057" spans="1:1" x14ac:dyDescent="0.25">
      <c r="A2057" s="158"/>
    </row>
    <row r="2058" spans="1:1" x14ac:dyDescent="0.25">
      <c r="A2058" s="158"/>
    </row>
    <row r="2059" spans="1:1" x14ac:dyDescent="0.25">
      <c r="A2059" s="158"/>
    </row>
    <row r="2060" spans="1:1" x14ac:dyDescent="0.25">
      <c r="A2060" s="158"/>
    </row>
    <row r="2061" spans="1:1" x14ac:dyDescent="0.25">
      <c r="A2061" s="158"/>
    </row>
    <row r="2062" spans="1:1" x14ac:dyDescent="0.25">
      <c r="A2062" s="158"/>
    </row>
    <row r="2063" spans="1:1" x14ac:dyDescent="0.25">
      <c r="A2063" s="158"/>
    </row>
    <row r="2064" spans="1:1" x14ac:dyDescent="0.25">
      <c r="A2064" s="158"/>
    </row>
    <row r="2065" spans="1:1" x14ac:dyDescent="0.25">
      <c r="A2065" s="158"/>
    </row>
    <row r="2066" spans="1:1" x14ac:dyDescent="0.25">
      <c r="A2066" s="158"/>
    </row>
    <row r="2067" spans="1:1" x14ac:dyDescent="0.25">
      <c r="A2067" s="158"/>
    </row>
    <row r="2068" spans="1:1" x14ac:dyDescent="0.25">
      <c r="A2068" s="158"/>
    </row>
    <row r="2069" spans="1:1" x14ac:dyDescent="0.25">
      <c r="A2069" s="158"/>
    </row>
    <row r="2070" spans="1:1" x14ac:dyDescent="0.25">
      <c r="A2070" s="158"/>
    </row>
    <row r="2071" spans="1:1" x14ac:dyDescent="0.25">
      <c r="A2071" s="158"/>
    </row>
    <row r="2072" spans="1:1" x14ac:dyDescent="0.25">
      <c r="A2072" s="158"/>
    </row>
    <row r="2073" spans="1:1" x14ac:dyDescent="0.25">
      <c r="A2073" s="158"/>
    </row>
    <row r="2074" spans="1:1" x14ac:dyDescent="0.25">
      <c r="A2074" s="158"/>
    </row>
    <row r="2075" spans="1:1" x14ac:dyDescent="0.25">
      <c r="A2075" s="158"/>
    </row>
    <row r="2076" spans="1:1" x14ac:dyDescent="0.25">
      <c r="A2076" s="158"/>
    </row>
    <row r="2077" spans="1:1" x14ac:dyDescent="0.25">
      <c r="A2077" s="158"/>
    </row>
    <row r="2078" spans="1:1" x14ac:dyDescent="0.25">
      <c r="A2078" s="158"/>
    </row>
    <row r="2079" spans="1:1" x14ac:dyDescent="0.25">
      <c r="A2079" s="158"/>
    </row>
    <row r="2080" spans="1:1" x14ac:dyDescent="0.25">
      <c r="A2080" s="158"/>
    </row>
    <row r="2081" spans="1:1" x14ac:dyDescent="0.25">
      <c r="A2081" s="158"/>
    </row>
    <row r="2082" spans="1:1" x14ac:dyDescent="0.25">
      <c r="A2082" s="158"/>
    </row>
    <row r="2083" spans="1:1" x14ac:dyDescent="0.25">
      <c r="A2083" s="158"/>
    </row>
    <row r="2084" spans="1:1" x14ac:dyDescent="0.25">
      <c r="A2084" s="158"/>
    </row>
    <row r="2085" spans="1:1" x14ac:dyDescent="0.25">
      <c r="A2085" s="158"/>
    </row>
    <row r="2086" spans="1:1" x14ac:dyDescent="0.25">
      <c r="A2086" s="158"/>
    </row>
    <row r="2087" spans="1:1" x14ac:dyDescent="0.25">
      <c r="A2087" s="158"/>
    </row>
    <row r="2088" spans="1:1" x14ac:dyDescent="0.25">
      <c r="A2088" s="158"/>
    </row>
    <row r="2089" spans="1:1" x14ac:dyDescent="0.25">
      <c r="A2089" s="158"/>
    </row>
    <row r="2090" spans="1:1" x14ac:dyDescent="0.25">
      <c r="A2090" s="158"/>
    </row>
    <row r="2091" spans="1:1" x14ac:dyDescent="0.25">
      <c r="A2091" s="158"/>
    </row>
    <row r="2092" spans="1:1" x14ac:dyDescent="0.25">
      <c r="A2092" s="158"/>
    </row>
    <row r="2093" spans="1:1" x14ac:dyDescent="0.25">
      <c r="A2093" s="158"/>
    </row>
    <row r="2094" spans="1:1" x14ac:dyDescent="0.25">
      <c r="A2094" s="158"/>
    </row>
    <row r="2095" spans="1:1" x14ac:dyDescent="0.25">
      <c r="A2095" s="158"/>
    </row>
    <row r="2096" spans="1:1" x14ac:dyDescent="0.25">
      <c r="A2096" s="158"/>
    </row>
    <row r="2097" spans="1:1" x14ac:dyDescent="0.25">
      <c r="A2097" s="158"/>
    </row>
    <row r="2098" spans="1:1" x14ac:dyDescent="0.25">
      <c r="A2098" s="158"/>
    </row>
    <row r="2099" spans="1:1" x14ac:dyDescent="0.25">
      <c r="A2099" s="158"/>
    </row>
    <row r="2100" spans="1:1" x14ac:dyDescent="0.25">
      <c r="A2100" s="158"/>
    </row>
    <row r="2101" spans="1:1" x14ac:dyDescent="0.25">
      <c r="A2101" s="158"/>
    </row>
    <row r="2102" spans="1:1" x14ac:dyDescent="0.25">
      <c r="A2102" s="158"/>
    </row>
    <row r="2103" spans="1:1" x14ac:dyDescent="0.25">
      <c r="A2103" s="158"/>
    </row>
    <row r="2104" spans="1:1" x14ac:dyDescent="0.25">
      <c r="A2104" s="158"/>
    </row>
    <row r="2105" spans="1:1" x14ac:dyDescent="0.25">
      <c r="A2105" s="158"/>
    </row>
    <row r="2106" spans="1:1" x14ac:dyDescent="0.25">
      <c r="A2106" s="158"/>
    </row>
    <row r="2107" spans="1:1" x14ac:dyDescent="0.25">
      <c r="A2107" s="158"/>
    </row>
    <row r="2108" spans="1:1" x14ac:dyDescent="0.25">
      <c r="A2108" s="158"/>
    </row>
    <row r="2109" spans="1:1" x14ac:dyDescent="0.25">
      <c r="A2109" s="158"/>
    </row>
    <row r="2110" spans="1:1" x14ac:dyDescent="0.25">
      <c r="A2110" s="158"/>
    </row>
    <row r="2111" spans="1:1" x14ac:dyDescent="0.25">
      <c r="A2111" s="158"/>
    </row>
  </sheetData>
  <customSheetViews>
    <customSheetView guid="{64A379BA-3141-462E-A550-7507503698AB}" showPageBreaks="1" showFormulas="1" printArea="1" view="pageBreakPreview" topLeftCell="B1">
      <pane ySplit="9" topLeftCell="A329" activePane="bottomLeft" state="frozen"/>
      <selection pane="bottomLeft" activeCell="D348" sqref="D348"/>
      <pageMargins left="0.23622047244094491" right="0.23622047244094491" top="0.74803149606299213" bottom="0.74803149606299213" header="0.31496062992125984" footer="0.31496062992125984"/>
      <pageSetup paperSize="9" scale="51" orientation="landscape" r:id="rId1"/>
    </customSheetView>
    <customSheetView guid="{085E57EC-FCE4-472B-96BD-85A48C0D7EC5}" showPageBreaks="1" printArea="1" view="pageBreakPreview" showRuler="0">
      <pane ySplit="9" topLeftCell="A688" activePane="bottomLeft" state="frozen"/>
      <selection pane="bottomLeft" activeCell="D702" sqref="D702"/>
      <pageMargins left="0.23622047244094491" right="0.23622047244094491" top="0.74803149606299213" bottom="0.74803149606299213" header="0.31496062992125984" footer="0.31496062992125984"/>
      <pageSetup paperSize="9" scale="51" orientation="landscape" r:id="rId2"/>
      <headerFooter alignWithMargins="0"/>
    </customSheetView>
    <customSheetView guid="{DD765DCE-E655-456A-9D24-4450FE20736A}" showPageBreaks="1" printArea="1" view="pageBreakPreview">
      <pane ySplit="9" topLeftCell="A499" activePane="bottomLeft" state="frozen"/>
      <selection pane="bottomLeft" activeCell="D6" sqref="D1:P65536"/>
      <pageMargins left="0.23622047244094491" right="0.23622047244094491" top="0.74803149606299213" bottom="0.74803149606299213" header="0.31496062992125984" footer="0.31496062992125984"/>
      <pageSetup paperSize="9" scale="51" orientation="landscape" r:id="rId3"/>
    </customSheetView>
    <customSheetView guid="{A9E6D264-7B9C-4375-A0CF-466470785BB4}" showPageBreaks="1" printArea="1" view="pageBreakPreview">
      <pane ySplit="9" topLeftCell="A10" activePane="bottomLeft" state="frozen"/>
      <selection pane="bottomLeft" activeCell="H11" sqref="H11:J11"/>
      <pageMargins left="0.23622047244094491" right="0.23622047244094491" top="0.74803149606299213" bottom="0.74803149606299213" header="0.31496062992125984" footer="0.31496062992125984"/>
      <pageSetup paperSize="9" scale="51" orientation="landscape" r:id="rId4"/>
    </customSheetView>
  </customSheetViews>
  <mergeCells count="11">
    <mergeCell ref="O11:O12"/>
    <mergeCell ref="A1:O5"/>
    <mergeCell ref="A11:A12"/>
    <mergeCell ref="B11:B12"/>
    <mergeCell ref="C11:C12"/>
    <mergeCell ref="D11:D12"/>
    <mergeCell ref="E11:E12"/>
    <mergeCell ref="F11:F12"/>
    <mergeCell ref="H11:J11"/>
    <mergeCell ref="K11:M11"/>
    <mergeCell ref="N11:N12"/>
  </mergeCells>
  <phoneticPr fontId="24" type="noConversion"/>
  <conditionalFormatting sqref="B409 B458 B489 B1610 A1616:D1616 F1616:G1616 I1616:O1616 B1621 B164:B165 B159 B493:B494 B983 B1315:B1322 B403:B407">
    <cfRule type="cellIs" dxfId="1637" priority="2206" stopIfTrue="1" operator="equal">
      <formula>"Cotação Balaroti"</formula>
    </cfRule>
  </conditionalFormatting>
  <conditionalFormatting sqref="A409 A458 A489 A1610 A1621 A164:A165 A159:A161 A254 A493:A494 A978:A979 A981 A983 A1006 A1315:A1322 A1761:A1765 A403:A407 A1888 A1886">
    <cfRule type="cellIs" dxfId="1636" priority="2207" stopIfTrue="1" operator="equal">
      <formula>"SINAPI"</formula>
    </cfRule>
  </conditionalFormatting>
  <conditionalFormatting sqref="A409">
    <cfRule type="expression" dxfId="1635" priority="2208" stopIfTrue="1">
      <formula>NOT(ISERROR(SEARCH("SINAPI",A409)))</formula>
    </cfRule>
  </conditionalFormatting>
  <conditionalFormatting sqref="B326">
    <cfRule type="cellIs" dxfId="1634" priority="2195" stopIfTrue="1" operator="equal">
      <formula>"Cotação Balaroti"</formula>
    </cfRule>
  </conditionalFormatting>
  <conditionalFormatting sqref="A326">
    <cfRule type="cellIs" dxfId="1633" priority="2196" stopIfTrue="1" operator="equal">
      <formula>"SINAPI"</formula>
    </cfRule>
  </conditionalFormatting>
  <conditionalFormatting sqref="B804 B939 B943:B944">
    <cfRule type="cellIs" dxfId="1632" priority="2136" stopIfTrue="1" operator="equal">
      <formula>"Cotação Balaroti"</formula>
    </cfRule>
  </conditionalFormatting>
  <conditionalFormatting sqref="A804 A939 A943:A944">
    <cfRule type="cellIs" dxfId="1631" priority="2137" stopIfTrue="1" operator="equal">
      <formula>"SINAPI"</formula>
    </cfRule>
  </conditionalFormatting>
  <conditionalFormatting sqref="A804">
    <cfRule type="expression" dxfId="1630" priority="2138" stopIfTrue="1">
      <formula>NOT(ISERROR(SEARCH("SINAPI",A804)))</formula>
    </cfRule>
  </conditionalFormatting>
  <conditionalFormatting sqref="B726 B703">
    <cfRule type="cellIs" dxfId="1629" priority="2134" stopIfTrue="1" operator="equal">
      <formula>"Cotação Balaroti"</formula>
    </cfRule>
  </conditionalFormatting>
  <conditionalFormatting sqref="A726 A703">
    <cfRule type="cellIs" dxfId="1628" priority="2135" stopIfTrue="1" operator="equal">
      <formula>"SINAPI"</formula>
    </cfRule>
  </conditionalFormatting>
  <conditionalFormatting sqref="B823">
    <cfRule type="cellIs" dxfId="1627" priority="2130" stopIfTrue="1" operator="equal">
      <formula>"Cotação Balaroti"</formula>
    </cfRule>
  </conditionalFormatting>
  <conditionalFormatting sqref="A823">
    <cfRule type="expression" dxfId="1626" priority="2131" stopIfTrue="1">
      <formula>NOT(ISERROR(SEARCH("SINAPI",A823)))</formula>
    </cfRule>
  </conditionalFormatting>
  <conditionalFormatting sqref="B1043">
    <cfRule type="cellIs" dxfId="1625" priority="2120" stopIfTrue="1" operator="equal">
      <formula>"Cotação Balaroti"</formula>
    </cfRule>
  </conditionalFormatting>
  <conditionalFormatting sqref="A1043">
    <cfRule type="cellIs" dxfId="1624" priority="2121" stopIfTrue="1" operator="equal">
      <formula>"SINAPI"</formula>
    </cfRule>
  </conditionalFormatting>
  <conditionalFormatting sqref="A1043">
    <cfRule type="expression" dxfId="1623" priority="2122" stopIfTrue="1">
      <formula>NOT(ISERROR(SEARCH("SINAPI",A1043)))</formula>
    </cfRule>
  </conditionalFormatting>
  <conditionalFormatting sqref="B84">
    <cfRule type="cellIs" dxfId="1622" priority="2043" stopIfTrue="1" operator="equal">
      <formula>"Cotação Balaroti"</formula>
    </cfRule>
  </conditionalFormatting>
  <conditionalFormatting sqref="A84">
    <cfRule type="cellIs" dxfId="1621" priority="2044" stopIfTrue="1" operator="equal">
      <formula>"SINAPI"</formula>
    </cfRule>
  </conditionalFormatting>
  <conditionalFormatting sqref="B1347 B1447 B1451">
    <cfRule type="cellIs" dxfId="1620" priority="2113" stopIfTrue="1" operator="equal">
      <formula>"Cotação Balaroti"</formula>
    </cfRule>
  </conditionalFormatting>
  <conditionalFormatting sqref="A1347 A1447 A1451">
    <cfRule type="cellIs" dxfId="1619" priority="2114" stopIfTrue="1" operator="equal">
      <formula>"SINAPI"</formula>
    </cfRule>
  </conditionalFormatting>
  <conditionalFormatting sqref="A1347">
    <cfRule type="expression" dxfId="1618" priority="2115" stopIfTrue="1">
      <formula>NOT(ISERROR(SEARCH("SINAPI",A1347)))</formula>
    </cfRule>
  </conditionalFormatting>
  <conditionalFormatting sqref="B1294">
    <cfRule type="cellIs" dxfId="1617" priority="2111" stopIfTrue="1" operator="equal">
      <formula>"Cotação Balaroti"</formula>
    </cfRule>
  </conditionalFormatting>
  <conditionalFormatting sqref="A1294">
    <cfRule type="cellIs" dxfId="1616" priority="2112" stopIfTrue="1" operator="equal">
      <formula>"SINAPI"</formula>
    </cfRule>
  </conditionalFormatting>
  <conditionalFormatting sqref="B1367">
    <cfRule type="cellIs" dxfId="1615" priority="2098" stopIfTrue="1" operator="equal">
      <formula>"Cotação Balaroti"</formula>
    </cfRule>
  </conditionalFormatting>
  <conditionalFormatting sqref="A1367">
    <cfRule type="expression" dxfId="1614" priority="2099" stopIfTrue="1">
      <formula>NOT(ISERROR(SEARCH("SINAPI",A1367)))</formula>
    </cfRule>
  </conditionalFormatting>
  <conditionalFormatting sqref="A891">
    <cfRule type="cellIs" dxfId="1613" priority="2095" stopIfTrue="1" operator="equal">
      <formula>"SINAPI"</formula>
    </cfRule>
  </conditionalFormatting>
  <conditionalFormatting sqref="B891">
    <cfRule type="cellIs" dxfId="1612" priority="2094" stopIfTrue="1" operator="equal">
      <formula>"SINAPI"</formula>
    </cfRule>
  </conditionalFormatting>
  <conditionalFormatting sqref="B1636">
    <cfRule type="cellIs" dxfId="1611" priority="2085" stopIfTrue="1" operator="equal">
      <formula>"Cotação Balaroti"</formula>
    </cfRule>
  </conditionalFormatting>
  <conditionalFormatting sqref="A1636">
    <cfRule type="cellIs" dxfId="1610" priority="2086" stopIfTrue="1" operator="equal">
      <formula>"SINAPI"</formula>
    </cfRule>
  </conditionalFormatting>
  <conditionalFormatting sqref="B55:B56">
    <cfRule type="cellIs" dxfId="1609" priority="2059" stopIfTrue="1" operator="equal">
      <formula>"Cotação Balaroti"</formula>
    </cfRule>
  </conditionalFormatting>
  <conditionalFormatting sqref="A63:A64">
    <cfRule type="cellIs" dxfId="1608" priority="2058" stopIfTrue="1" operator="equal">
      <formula>"SINAPI"</formula>
    </cfRule>
  </conditionalFormatting>
  <conditionalFormatting sqref="B19:B24">
    <cfRule type="cellIs" dxfId="1607" priority="2077" stopIfTrue="1" operator="equal">
      <formula>"Cotação Balaroti"</formula>
    </cfRule>
  </conditionalFormatting>
  <conditionalFormatting sqref="A19:A24">
    <cfRule type="cellIs" dxfId="1606" priority="2078" stopIfTrue="1" operator="equal">
      <formula>"SINAPI"</formula>
    </cfRule>
  </conditionalFormatting>
  <conditionalFormatting sqref="B25">
    <cfRule type="cellIs" dxfId="1605" priority="2075" stopIfTrue="1" operator="equal">
      <formula>"Cotação Balaroti"</formula>
    </cfRule>
  </conditionalFormatting>
  <conditionalFormatting sqref="A25">
    <cfRule type="cellIs" dxfId="1604" priority="2076" stopIfTrue="1" operator="equal">
      <formula>"SINAPI"</formula>
    </cfRule>
  </conditionalFormatting>
  <conditionalFormatting sqref="B31:B33">
    <cfRule type="cellIs" dxfId="1603" priority="2071" stopIfTrue="1" operator="equal">
      <formula>"Cotação Balaroti"</formula>
    </cfRule>
  </conditionalFormatting>
  <conditionalFormatting sqref="A31:A33">
    <cfRule type="cellIs" dxfId="1602" priority="2072" stopIfTrue="1" operator="equal">
      <formula>"SINAPI"</formula>
    </cfRule>
  </conditionalFormatting>
  <conditionalFormatting sqref="B40">
    <cfRule type="cellIs" dxfId="1601" priority="2068" stopIfTrue="1" operator="equal">
      <formula>"Cotação Balaroti"</formula>
    </cfRule>
  </conditionalFormatting>
  <conditionalFormatting sqref="A53">
    <cfRule type="cellIs" dxfId="1600" priority="2067" stopIfTrue="1" operator="equal">
      <formula>"SINAPI"</formula>
    </cfRule>
  </conditionalFormatting>
  <conditionalFormatting sqref="B42">
    <cfRule type="cellIs" dxfId="1599" priority="2069" stopIfTrue="1" operator="equal">
      <formula>"Cotação Balaroti"</formula>
    </cfRule>
  </conditionalFormatting>
  <conditionalFormatting sqref="A40 A42">
    <cfRule type="cellIs" dxfId="1598" priority="2070" stopIfTrue="1" operator="equal">
      <formula>"SINAPI"</formula>
    </cfRule>
  </conditionalFormatting>
  <conditionalFormatting sqref="B53">
    <cfRule type="cellIs" dxfId="1597" priority="2066" stopIfTrue="1" operator="equal">
      <formula>"Cotação Balaroti"</formula>
    </cfRule>
  </conditionalFormatting>
  <conditionalFormatting sqref="B45:B52">
    <cfRule type="cellIs" dxfId="1596" priority="2061" stopIfTrue="1" operator="equal">
      <formula>"Cotação Balaroti"</formula>
    </cfRule>
  </conditionalFormatting>
  <conditionalFormatting sqref="A45:A52">
    <cfRule type="cellIs" dxfId="1595" priority="2062" stopIfTrue="1" operator="equal">
      <formula>"SINAPI"</formula>
    </cfRule>
  </conditionalFormatting>
  <conditionalFormatting sqref="A118:A123">
    <cfRule type="cellIs" dxfId="1594" priority="2028" stopIfTrue="1" operator="equal">
      <formula>"SINAPI"</formula>
    </cfRule>
  </conditionalFormatting>
  <conditionalFormatting sqref="B119:B123">
    <cfRule type="cellIs" dxfId="1593" priority="2027" stopIfTrue="1" operator="equal">
      <formula>"Cotação Balaroti"</formula>
    </cfRule>
  </conditionalFormatting>
  <conditionalFormatting sqref="B70">
    <cfRule type="cellIs" dxfId="1592" priority="2053" stopIfTrue="1" operator="equal">
      <formula>"Cotação Balaroti"</formula>
    </cfRule>
  </conditionalFormatting>
  <conditionalFormatting sqref="B63:B64">
    <cfRule type="cellIs" dxfId="1591" priority="2057" stopIfTrue="1" operator="equal">
      <formula>"Cotação Balaroti"</formula>
    </cfRule>
  </conditionalFormatting>
  <conditionalFormatting sqref="A55:A56">
    <cfRule type="cellIs" dxfId="1590" priority="2060" stopIfTrue="1" operator="equal">
      <formula>"SINAPI"</formula>
    </cfRule>
  </conditionalFormatting>
  <conditionalFormatting sqref="B67">
    <cfRule type="cellIs" dxfId="1589" priority="2055" stopIfTrue="1" operator="equal">
      <formula>"Cotação Balaroti"</formula>
    </cfRule>
  </conditionalFormatting>
  <conditionalFormatting sqref="A71">
    <cfRule type="cellIs" dxfId="1588" priority="2052" stopIfTrue="1" operator="equal">
      <formula>"SINAPI"</formula>
    </cfRule>
  </conditionalFormatting>
  <conditionalFormatting sqref="A67">
    <cfRule type="cellIs" dxfId="1587" priority="2056" stopIfTrue="1" operator="equal">
      <formula>"SINAPI"</formula>
    </cfRule>
  </conditionalFormatting>
  <conditionalFormatting sqref="B71">
    <cfRule type="cellIs" dxfId="1586" priority="2051" stopIfTrue="1" operator="equal">
      <formula>"Cotação Balaroti"</formula>
    </cfRule>
  </conditionalFormatting>
  <conditionalFormatting sqref="A70">
    <cfRule type="cellIs" dxfId="1585" priority="2054" stopIfTrue="1" operator="equal">
      <formula>"SINAPI"</formula>
    </cfRule>
  </conditionalFormatting>
  <conditionalFormatting sqref="B74:B75">
    <cfRule type="cellIs" dxfId="1584" priority="2049" stopIfTrue="1" operator="equal">
      <formula>"Cotação Balaroti"</formula>
    </cfRule>
  </conditionalFormatting>
  <conditionalFormatting sqref="B87">
    <cfRule type="cellIs" dxfId="1583" priority="2041" stopIfTrue="1" operator="equal">
      <formula>"Cotação Balaroti"</formula>
    </cfRule>
  </conditionalFormatting>
  <conditionalFormatting sqref="A74:A75">
    <cfRule type="cellIs" dxfId="1582" priority="2050" stopIfTrue="1" operator="equal">
      <formula>"SINAPI"</formula>
    </cfRule>
  </conditionalFormatting>
  <conditionalFormatting sqref="B90">
    <cfRule type="cellIs" dxfId="1581" priority="2039" stopIfTrue="1" operator="equal">
      <formula>"Cotação Balaroti"</formula>
    </cfRule>
  </conditionalFormatting>
  <conditionalFormatting sqref="A87">
    <cfRule type="cellIs" dxfId="1580" priority="2042" stopIfTrue="1" operator="equal">
      <formula>"SINAPI"</formula>
    </cfRule>
  </conditionalFormatting>
  <conditionalFormatting sqref="B78">
    <cfRule type="cellIs" dxfId="1579" priority="2047" stopIfTrue="1" operator="equal">
      <formula>"Cotação Balaroti"</formula>
    </cfRule>
  </conditionalFormatting>
  <conditionalFormatting sqref="A78">
    <cfRule type="cellIs" dxfId="1578" priority="2048" stopIfTrue="1" operator="equal">
      <formula>"SINAPI"</formula>
    </cfRule>
  </conditionalFormatting>
  <conditionalFormatting sqref="B81">
    <cfRule type="cellIs" dxfId="1577" priority="2045" stopIfTrue="1" operator="equal">
      <formula>"Cotação Balaroti"</formula>
    </cfRule>
  </conditionalFormatting>
  <conditionalFormatting sqref="A81">
    <cfRule type="cellIs" dxfId="1576" priority="2046" stopIfTrue="1" operator="equal">
      <formula>"SINAPI"</formula>
    </cfRule>
  </conditionalFormatting>
  <conditionalFormatting sqref="B168">
    <cfRule type="cellIs" dxfId="1575" priority="1933" stopIfTrue="1" operator="equal">
      <formula>"Cotação Balaroti"</formula>
    </cfRule>
  </conditionalFormatting>
  <conditionalFormatting sqref="A115">
    <cfRule type="cellIs" dxfId="1574" priority="2038" stopIfTrue="1" operator="equal">
      <formula>"SINAPI"</formula>
    </cfRule>
  </conditionalFormatting>
  <conditionalFormatting sqref="B107">
    <cfRule type="cellIs" dxfId="1573" priority="2033" stopIfTrue="1" operator="equal">
      <formula>"Cotação Balaroti"</formula>
    </cfRule>
  </conditionalFormatting>
  <conditionalFormatting sqref="A90">
    <cfRule type="cellIs" dxfId="1572" priority="2040" stopIfTrue="1" operator="equal">
      <formula>"SINAPI"</formula>
    </cfRule>
  </conditionalFormatting>
  <conditionalFormatting sqref="B117">
    <cfRule type="cellIs" dxfId="1571" priority="2029" stopIfTrue="1" operator="equal">
      <formula>"Cotação Balaroti"</formula>
    </cfRule>
  </conditionalFormatting>
  <conditionalFormatting sqref="A107">
    <cfRule type="cellIs" dxfId="1570" priority="2034" stopIfTrue="1" operator="equal">
      <formula>"SINAPI"</formula>
    </cfRule>
  </conditionalFormatting>
  <conditionalFormatting sqref="A191 A186:A188">
    <cfRule type="cellIs" dxfId="1569" priority="1931" stopIfTrue="1" operator="equal">
      <formula>"SINAPI"</formula>
    </cfRule>
  </conditionalFormatting>
  <conditionalFormatting sqref="B108:B110 B112:B114">
    <cfRule type="cellIs" dxfId="1568" priority="2031" stopIfTrue="1" operator="equal">
      <formula>"Cotação Balaroti"</formula>
    </cfRule>
  </conditionalFormatting>
  <conditionalFormatting sqref="B132">
    <cfRule type="cellIs" dxfId="1567" priority="2016" stopIfTrue="1" operator="equal">
      <formula>"Cotação Balaroti"</formula>
    </cfRule>
  </conditionalFormatting>
  <conditionalFormatting sqref="A117">
    <cfRule type="cellIs" dxfId="1566" priority="2030" stopIfTrue="1" operator="equal">
      <formula>"SINAPI"</formula>
    </cfRule>
  </conditionalFormatting>
  <conditionalFormatting sqref="B128">
    <cfRule type="cellIs" dxfId="1565" priority="2022" stopIfTrue="1" operator="equal">
      <formula>"Cotação Balaroti"</formula>
    </cfRule>
  </conditionalFormatting>
  <conditionalFormatting sqref="A108:A110 A112:A114">
    <cfRule type="cellIs" dxfId="1564" priority="2032" stopIfTrue="1" operator="equal">
      <formula>"SINAPI"</formula>
    </cfRule>
  </conditionalFormatting>
  <conditionalFormatting sqref="B118">
    <cfRule type="cellIs" dxfId="1563" priority="2026" stopIfTrue="1" operator="equal">
      <formula>"Cotação Balaroti"</formula>
    </cfRule>
  </conditionalFormatting>
  <conditionalFormatting sqref="A127:A128">
    <cfRule type="cellIs" dxfId="1562" priority="2023" stopIfTrue="1" operator="equal">
      <formula>"SINAPI"</formula>
    </cfRule>
  </conditionalFormatting>
  <conditionalFormatting sqref="B127">
    <cfRule type="cellIs" dxfId="1561" priority="2021" stopIfTrue="1" operator="equal">
      <formula>"Cotação Balaroti"</formula>
    </cfRule>
  </conditionalFormatting>
  <conditionalFormatting sqref="A131">
    <cfRule type="cellIs" dxfId="1560" priority="2015" stopIfTrue="1" operator="equal">
      <formula>"SINAPI"</formula>
    </cfRule>
  </conditionalFormatting>
  <conditionalFormatting sqref="A126">
    <cfRule type="cellIs" dxfId="1559" priority="2020" stopIfTrue="1" operator="equal">
      <formula>"SINAPI"</formula>
    </cfRule>
  </conditionalFormatting>
  <conditionalFormatting sqref="B126">
    <cfRule type="cellIs" dxfId="1558" priority="2019" stopIfTrue="1" operator="equal">
      <formula>"Cotação Balaroti"</formula>
    </cfRule>
  </conditionalFormatting>
  <conditionalFormatting sqref="B133">
    <cfRule type="cellIs" dxfId="1557" priority="2017" stopIfTrue="1" operator="equal">
      <formula>"Cotação Balaroti"</formula>
    </cfRule>
  </conditionalFormatting>
  <conditionalFormatting sqref="A132:A133">
    <cfRule type="cellIs" dxfId="1556" priority="2018" stopIfTrue="1" operator="equal">
      <formula>"SINAPI"</formula>
    </cfRule>
  </conditionalFormatting>
  <conditionalFormatting sqref="B131">
    <cfRule type="cellIs" dxfId="1555" priority="2014" stopIfTrue="1" operator="equal">
      <formula>"Cotação Balaroti"</formula>
    </cfRule>
  </conditionalFormatting>
  <conditionalFormatting sqref="B135">
    <cfRule type="cellIs" dxfId="1554" priority="2012" stopIfTrue="1" operator="equal">
      <formula>"Cotação Balaroti"</formula>
    </cfRule>
  </conditionalFormatting>
  <conditionalFormatting sqref="A135">
    <cfRule type="cellIs" dxfId="1553" priority="2013" stopIfTrue="1" operator="equal">
      <formula>"SINAPI"</formula>
    </cfRule>
  </conditionalFormatting>
  <conditionalFormatting sqref="B134">
    <cfRule type="cellIs" dxfId="1552" priority="2010" stopIfTrue="1" operator="equal">
      <formula>"Cotação Balaroti"</formula>
    </cfRule>
  </conditionalFormatting>
  <conditionalFormatting sqref="A134">
    <cfRule type="cellIs" dxfId="1551" priority="2011" stopIfTrue="1" operator="equal">
      <formula>"SINAPI"</formula>
    </cfRule>
  </conditionalFormatting>
  <conditionalFormatting sqref="B155">
    <cfRule type="cellIs" dxfId="1550" priority="1988" stopIfTrue="1" operator="equal">
      <formula>"Cotação Balaroti"</formula>
    </cfRule>
  </conditionalFormatting>
  <conditionalFormatting sqref="A154">
    <cfRule type="cellIs" dxfId="1549" priority="2006" stopIfTrue="1" operator="equal">
      <formula>"SINAPI"</formula>
    </cfRule>
  </conditionalFormatting>
  <conditionalFormatting sqref="A155:A156">
    <cfRule type="cellIs" dxfId="1548" priority="2009" stopIfTrue="1" operator="equal">
      <formula>"SINAPI"</formula>
    </cfRule>
  </conditionalFormatting>
  <conditionalFormatting sqref="B154">
    <cfRule type="cellIs" dxfId="1547" priority="2005" stopIfTrue="1" operator="equal">
      <formula>"Cotação Balaroti"</formula>
    </cfRule>
  </conditionalFormatting>
  <conditionalFormatting sqref="B158">
    <cfRule type="cellIs" dxfId="1546" priority="2003" stopIfTrue="1" operator="equal">
      <formula>"Cotação Balaroti"</formula>
    </cfRule>
  </conditionalFormatting>
  <conditionalFormatting sqref="A158">
    <cfRule type="cellIs" dxfId="1545" priority="2004" stopIfTrue="1" operator="equal">
      <formula>"SINAPI"</formula>
    </cfRule>
  </conditionalFormatting>
  <conditionalFormatting sqref="B157">
    <cfRule type="cellIs" dxfId="1544" priority="2001" stopIfTrue="1" operator="equal">
      <formula>"Cotação Balaroti"</formula>
    </cfRule>
  </conditionalFormatting>
  <conditionalFormatting sqref="A157">
    <cfRule type="cellIs" dxfId="1543" priority="2002" stopIfTrue="1" operator="equal">
      <formula>"SINAPI"</formula>
    </cfRule>
  </conditionalFormatting>
  <conditionalFormatting sqref="B160">
    <cfRule type="cellIs" dxfId="1542" priority="1998" stopIfTrue="1" operator="equal">
      <formula>"Cotação Balaroti"</formula>
    </cfRule>
  </conditionalFormatting>
  <conditionalFormatting sqref="A163">
    <cfRule type="cellIs" dxfId="1541" priority="1997" stopIfTrue="1" operator="equal">
      <formula>"SINAPI"</formula>
    </cfRule>
  </conditionalFormatting>
  <conditionalFormatting sqref="B161">
    <cfRule type="cellIs" dxfId="1540" priority="1999" stopIfTrue="1" operator="equal">
      <formula>"Cotação Balaroti"</formula>
    </cfRule>
  </conditionalFormatting>
  <conditionalFormatting sqref="B163">
    <cfRule type="cellIs" dxfId="1539" priority="1996" stopIfTrue="1" operator="equal">
      <formula>"Cotação Balaroti"</formula>
    </cfRule>
  </conditionalFormatting>
  <conditionalFormatting sqref="B162">
    <cfRule type="cellIs" dxfId="1538" priority="1992" stopIfTrue="1" operator="equal">
      <formula>"Cotação Balaroti"</formula>
    </cfRule>
  </conditionalFormatting>
  <conditionalFormatting sqref="A162">
    <cfRule type="cellIs" dxfId="1537" priority="1993" stopIfTrue="1" operator="equal">
      <formula>"SINAPI"</formula>
    </cfRule>
  </conditionalFormatting>
  <conditionalFormatting sqref="B156">
    <cfRule type="cellIs" dxfId="1536" priority="1989" stopIfTrue="1" operator="equal">
      <formula>"Cotação Balaroti"</formula>
    </cfRule>
  </conditionalFormatting>
  <conditionalFormatting sqref="A229">
    <cfRule type="cellIs" dxfId="1535" priority="1986" stopIfTrue="1" operator="equal">
      <formula>"SINAPI"</formula>
    </cfRule>
  </conditionalFormatting>
  <conditionalFormatting sqref="B229">
    <cfRule type="cellIs" dxfId="1534" priority="1985" stopIfTrue="1" operator="equal">
      <formula>"Cotação Balaroti"</formula>
    </cfRule>
  </conditionalFormatting>
  <conditionalFormatting sqref="B191 B186">
    <cfRule type="cellIs" dxfId="1533" priority="1930" stopIfTrue="1" operator="equal">
      <formula>"Cotação Balaroti"</formula>
    </cfRule>
  </conditionalFormatting>
  <conditionalFormatting sqref="A195:A196">
    <cfRule type="cellIs" dxfId="1532" priority="1912" stopIfTrue="1" operator="equal">
      <formula>"SINAPI"</formula>
    </cfRule>
  </conditionalFormatting>
  <conditionalFormatting sqref="B230">
    <cfRule type="cellIs" dxfId="1531" priority="1981" stopIfTrue="1" operator="equal">
      <formula>"Cotação Balaroti"</formula>
    </cfRule>
  </conditionalFormatting>
  <conditionalFormatting sqref="A230">
    <cfRule type="cellIs" dxfId="1530" priority="1982" stopIfTrue="1" operator="equal">
      <formula>"SINAPI"</formula>
    </cfRule>
  </conditionalFormatting>
  <conditionalFormatting sqref="B231">
    <cfRule type="cellIs" dxfId="1529" priority="1978" stopIfTrue="1" operator="equal">
      <formula>"Cotação Balaroti"</formula>
    </cfRule>
  </conditionalFormatting>
  <conditionalFormatting sqref="B171">
    <cfRule type="cellIs" dxfId="1528" priority="1943" stopIfTrue="1" operator="equal">
      <formula>"Cotação Balaroti"</formula>
    </cfRule>
  </conditionalFormatting>
  <conditionalFormatting sqref="A231">
    <cfRule type="cellIs" dxfId="1527" priority="1980" stopIfTrue="1" operator="equal">
      <formula>"SINAPI"</formula>
    </cfRule>
  </conditionalFormatting>
  <conditionalFormatting sqref="B174">
    <cfRule type="cellIs" dxfId="1526" priority="1940" stopIfTrue="1" operator="equal">
      <formula>"Cotação Balaroti"</formula>
    </cfRule>
  </conditionalFormatting>
  <conditionalFormatting sqref="B195">
    <cfRule type="cellIs" dxfId="1525" priority="1898" stopIfTrue="1" operator="equal">
      <formula>"Cotação Balaroti"</formula>
    </cfRule>
  </conditionalFormatting>
  <conditionalFormatting sqref="A190">
    <cfRule type="cellIs" dxfId="1524" priority="1920" stopIfTrue="1" operator="equal">
      <formula>"SINAPI"</formula>
    </cfRule>
  </conditionalFormatting>
  <conditionalFormatting sqref="B228">
    <cfRule type="cellIs" dxfId="1523" priority="1968" stopIfTrue="1" operator="equal">
      <formula>"Cotação Balaroti"</formula>
    </cfRule>
  </conditionalFormatting>
  <conditionalFormatting sqref="A228">
    <cfRule type="cellIs" dxfId="1522" priority="1969" stopIfTrue="1" operator="equal">
      <formula>"SINAPI"</formula>
    </cfRule>
  </conditionalFormatting>
  <conditionalFormatting sqref="B176">
    <cfRule type="cellIs" dxfId="1521" priority="1932" stopIfTrue="1" operator="equal">
      <formula>"Cotação Balaroti"</formula>
    </cfRule>
  </conditionalFormatting>
  <conditionalFormatting sqref="A177:A178 A172:A174">
    <cfRule type="cellIs" dxfId="1520" priority="1949" stopIfTrue="1" operator="equal">
      <formula>"SINAPI"</formula>
    </cfRule>
  </conditionalFormatting>
  <conditionalFormatting sqref="B167">
    <cfRule type="cellIs" dxfId="1519" priority="1945" stopIfTrue="1" operator="equal">
      <formula>"Cotação Balaroti"</formula>
    </cfRule>
  </conditionalFormatting>
  <conditionalFormatting sqref="A167">
    <cfRule type="cellIs" dxfId="1518" priority="1946" stopIfTrue="1" operator="equal">
      <formula>"SINAPI"</formula>
    </cfRule>
  </conditionalFormatting>
  <conditionalFormatting sqref="A171">
    <cfRule type="cellIs" dxfId="1517" priority="1944" stopIfTrue="1" operator="equal">
      <formula>"SINAPI"</formula>
    </cfRule>
  </conditionalFormatting>
  <conditionalFormatting sqref="A202">
    <cfRule type="cellIs" dxfId="1516" priority="1901" stopIfTrue="1" operator="equal">
      <formula>"SINAPI"</formula>
    </cfRule>
  </conditionalFormatting>
  <conditionalFormatting sqref="B170">
    <cfRule type="cellIs" dxfId="1515" priority="1941" stopIfTrue="1" operator="equal">
      <formula>"Cotação Balaroti"</formula>
    </cfRule>
  </conditionalFormatting>
  <conditionalFormatting sqref="A170">
    <cfRule type="cellIs" dxfId="1514" priority="1942" stopIfTrue="1" operator="equal">
      <formula>"SINAPI"</formula>
    </cfRule>
  </conditionalFormatting>
  <conditionalFormatting sqref="B187">
    <cfRule type="cellIs" dxfId="1513" priority="1921" stopIfTrue="1" operator="equal">
      <formula>"Cotação Balaroti"</formula>
    </cfRule>
  </conditionalFormatting>
  <conditionalFormatting sqref="B169">
    <cfRule type="cellIs" dxfId="1512" priority="1934" stopIfTrue="1" operator="equal">
      <formula>"Cotação Balaroti"</formula>
    </cfRule>
  </conditionalFormatting>
  <conditionalFormatting sqref="A216">
    <cfRule type="cellIs" dxfId="1511" priority="1878" stopIfTrue="1" operator="equal">
      <formula>"SINAPI"</formula>
    </cfRule>
  </conditionalFormatting>
  <conditionalFormatting sqref="B188">
    <cfRule type="cellIs" dxfId="1510" priority="1922" stopIfTrue="1" operator="equal">
      <formula>"Cotação Balaroti"</formula>
    </cfRule>
  </conditionalFormatting>
  <conditionalFormatting sqref="B177:B178 B172">
    <cfRule type="cellIs" dxfId="1509" priority="1948" stopIfTrue="1" operator="equal">
      <formula>"Cotação Balaroti"</formula>
    </cfRule>
  </conditionalFormatting>
  <conditionalFormatting sqref="A194">
    <cfRule type="cellIs" dxfId="1508" priority="1911" stopIfTrue="1" operator="equal">
      <formula>"SINAPI"</formula>
    </cfRule>
  </conditionalFormatting>
  <conditionalFormatting sqref="B182">
    <cfRule type="cellIs" dxfId="1507" priority="1916" stopIfTrue="1" operator="equal">
      <formula>"Cotação Balaroti"</formula>
    </cfRule>
  </conditionalFormatting>
  <conditionalFormatting sqref="A182:A183">
    <cfRule type="cellIs" dxfId="1506" priority="1929" stopIfTrue="1" operator="equal">
      <formula>"SINAPI"</formula>
    </cfRule>
  </conditionalFormatting>
  <conditionalFormatting sqref="A168:A169">
    <cfRule type="cellIs" dxfId="1505" priority="1947" stopIfTrue="1" operator="equal">
      <formula>"SINAPI"</formula>
    </cfRule>
  </conditionalFormatting>
  <conditionalFormatting sqref="B213">
    <cfRule type="cellIs" dxfId="1504" priority="1883" stopIfTrue="1" operator="equal">
      <formula>"Cotação Balaroti"</formula>
    </cfRule>
  </conditionalFormatting>
  <conditionalFormatting sqref="B201">
    <cfRule type="cellIs" dxfId="1503" priority="1905" stopIfTrue="1" operator="equal">
      <formula>"Cotação Balaroti"</formula>
    </cfRule>
  </conditionalFormatting>
  <conditionalFormatting sqref="A215">
    <cfRule type="cellIs" dxfId="1502" priority="1882" stopIfTrue="1" operator="equal">
      <formula>"SINAPI"</formula>
    </cfRule>
  </conditionalFormatting>
  <conditionalFormatting sqref="B214">
    <cfRule type="cellIs" dxfId="1501" priority="1884" stopIfTrue="1" operator="equal">
      <formula>"Cotação Balaroti"</formula>
    </cfRule>
  </conditionalFormatting>
  <conditionalFormatting sqref="A221:A222">
    <cfRule type="cellIs" dxfId="1500" priority="1874" stopIfTrue="1" operator="equal">
      <formula>"SINAPI"</formula>
    </cfRule>
  </conditionalFormatting>
  <conditionalFormatting sqref="B173">
    <cfRule type="cellIs" dxfId="1499" priority="1939" stopIfTrue="1" operator="equal">
      <formula>"Cotação Balaroti"</formula>
    </cfRule>
  </conditionalFormatting>
  <conditionalFormatting sqref="A176">
    <cfRule type="cellIs" dxfId="1498" priority="1938" stopIfTrue="1" operator="equal">
      <formula>"SINAPI"</formula>
    </cfRule>
  </conditionalFormatting>
  <conditionalFormatting sqref="B184">
    <cfRule type="cellIs" dxfId="1497" priority="1923" stopIfTrue="1" operator="equal">
      <formula>"Cotação Balaroti"</formula>
    </cfRule>
  </conditionalFormatting>
  <conditionalFormatting sqref="B208">
    <cfRule type="cellIs" dxfId="1496" priority="1879" stopIfTrue="1" operator="equal">
      <formula>"Cotação Balaroti"</formula>
    </cfRule>
  </conditionalFormatting>
  <conditionalFormatting sqref="B175">
    <cfRule type="cellIs" dxfId="1495" priority="1935" stopIfTrue="1" operator="equal">
      <formula>"Cotação Balaroti"</formula>
    </cfRule>
  </conditionalFormatting>
  <conditionalFormatting sqref="A175">
    <cfRule type="cellIs" dxfId="1494" priority="1936" stopIfTrue="1" operator="equal">
      <formula>"SINAPI"</formula>
    </cfRule>
  </conditionalFormatting>
  <conditionalFormatting sqref="B183">
    <cfRule type="cellIs" dxfId="1493" priority="1917" stopIfTrue="1" operator="equal">
      <formula>"Cotação Balaroti"</formula>
    </cfRule>
  </conditionalFormatting>
  <conditionalFormatting sqref="B190">
    <cfRule type="cellIs" dxfId="1492" priority="1915" stopIfTrue="1" operator="equal">
      <formula>"Cotação Balaroti"</formula>
    </cfRule>
  </conditionalFormatting>
  <conditionalFormatting sqref="B185">
    <cfRule type="cellIs" dxfId="1491" priority="1925" stopIfTrue="1" operator="equal">
      <formula>"Cotação Balaroti"</formula>
    </cfRule>
  </conditionalFormatting>
  <conditionalFormatting sqref="B196">
    <cfRule type="cellIs" dxfId="1490" priority="1899" stopIfTrue="1" operator="equal">
      <formula>"Cotação Balaroti"</formula>
    </cfRule>
  </conditionalFormatting>
  <conditionalFormatting sqref="B203">
    <cfRule type="cellIs" dxfId="1489" priority="1894" stopIfTrue="1" operator="equal">
      <formula>"Cotação Balaroti"</formula>
    </cfRule>
  </conditionalFormatting>
  <conditionalFormatting sqref="A208:A209">
    <cfRule type="cellIs" dxfId="1488" priority="1891" stopIfTrue="1" operator="equal">
      <formula>"SINAPI"</formula>
    </cfRule>
  </conditionalFormatting>
  <conditionalFormatting sqref="B181">
    <cfRule type="cellIs" dxfId="1487" priority="1927" stopIfTrue="1" operator="equal">
      <formula>"Cotação Balaroti"</formula>
    </cfRule>
  </conditionalFormatting>
  <conditionalFormatting sqref="A181">
    <cfRule type="cellIs" dxfId="1486" priority="1928" stopIfTrue="1" operator="equal">
      <formula>"SINAPI"</formula>
    </cfRule>
  </conditionalFormatting>
  <conditionalFormatting sqref="A185">
    <cfRule type="cellIs" dxfId="1485" priority="1926" stopIfTrue="1" operator="equal">
      <formula>"SINAPI"</formula>
    </cfRule>
  </conditionalFormatting>
  <conditionalFormatting sqref="B224">
    <cfRule type="cellIs" dxfId="1484" priority="1866" stopIfTrue="1" operator="equal">
      <formula>"Cotação Balaroti"</formula>
    </cfRule>
  </conditionalFormatting>
  <conditionalFormatting sqref="A184">
    <cfRule type="cellIs" dxfId="1483" priority="1924" stopIfTrue="1" operator="equal">
      <formula>"SINAPI"</formula>
    </cfRule>
  </conditionalFormatting>
  <conditionalFormatting sqref="B220">
    <cfRule type="cellIs" dxfId="1482" priority="1872" stopIfTrue="1" operator="equal">
      <formula>"Cotação Balaroti"</formula>
    </cfRule>
  </conditionalFormatting>
  <conditionalFormatting sqref="B216">
    <cfRule type="cellIs" dxfId="1481" priority="1876" stopIfTrue="1" operator="equal">
      <formula>"Cotação Balaroti"</formula>
    </cfRule>
  </conditionalFormatting>
  <conditionalFormatting sqref="B210">
    <cfRule type="cellIs" dxfId="1480" priority="1885" stopIfTrue="1" operator="equal">
      <formula>"Cotação Balaroti"</formula>
    </cfRule>
  </conditionalFormatting>
  <conditionalFormatting sqref="A224">
    <cfRule type="cellIs" dxfId="1479" priority="1867" stopIfTrue="1" operator="equal">
      <formula>"SINAPI"</formula>
    </cfRule>
  </conditionalFormatting>
  <conditionalFormatting sqref="B202">
    <cfRule type="cellIs" dxfId="1478" priority="1900" stopIfTrue="1" operator="equal">
      <formula>"Cotação Balaroti"</formula>
    </cfRule>
  </conditionalFormatting>
  <conditionalFormatting sqref="A220">
    <cfRule type="cellIs" dxfId="1477" priority="1873" stopIfTrue="1" operator="equal">
      <formula>"SINAPI"</formula>
    </cfRule>
  </conditionalFormatting>
  <conditionalFormatting sqref="B189">
    <cfRule type="cellIs" dxfId="1476" priority="1918" stopIfTrue="1" operator="equal">
      <formula>"Cotação Balaroti"</formula>
    </cfRule>
  </conditionalFormatting>
  <conditionalFormatting sqref="A189">
    <cfRule type="cellIs" dxfId="1475" priority="1919" stopIfTrue="1" operator="equal">
      <formula>"SINAPI"</formula>
    </cfRule>
  </conditionalFormatting>
  <conditionalFormatting sqref="B204:B205 B199">
    <cfRule type="cellIs" dxfId="1474" priority="1913" stopIfTrue="1" operator="equal">
      <formula>"Cotação Balaroti"</formula>
    </cfRule>
  </conditionalFormatting>
  <conditionalFormatting sqref="A204:A205 A199:A201">
    <cfRule type="cellIs" dxfId="1473" priority="1914" stopIfTrue="1" operator="equal">
      <formula>"SINAPI"</formula>
    </cfRule>
  </conditionalFormatting>
  <conditionalFormatting sqref="B221">
    <cfRule type="cellIs" dxfId="1472" priority="1870" stopIfTrue="1" operator="equal">
      <formula>"Cotação Balaroti"</formula>
    </cfRule>
  </conditionalFormatting>
  <conditionalFormatting sqref="A257">
    <cfRule type="cellIs" dxfId="1471" priority="1854" stopIfTrue="1" operator="equal">
      <formula>"SINAPI"</formula>
    </cfRule>
  </conditionalFormatting>
  <conditionalFormatting sqref="B194">
    <cfRule type="cellIs" dxfId="1470" priority="1910" stopIfTrue="1" operator="equal">
      <formula>"Cotação Balaroti"</formula>
    </cfRule>
  </conditionalFormatting>
  <conditionalFormatting sqref="B198">
    <cfRule type="cellIs" dxfId="1469" priority="1908" stopIfTrue="1" operator="equal">
      <formula>"Cotação Balaroti"</formula>
    </cfRule>
  </conditionalFormatting>
  <conditionalFormatting sqref="A198">
    <cfRule type="cellIs" dxfId="1468" priority="1909" stopIfTrue="1" operator="equal">
      <formula>"SINAPI"</formula>
    </cfRule>
  </conditionalFormatting>
  <conditionalFormatting sqref="B197">
    <cfRule type="cellIs" dxfId="1467" priority="1906" stopIfTrue="1" operator="equal">
      <formula>"Cotação Balaroti"</formula>
    </cfRule>
  </conditionalFormatting>
  <conditionalFormatting sqref="A197">
    <cfRule type="cellIs" dxfId="1466" priority="1907" stopIfTrue="1" operator="equal">
      <formula>"SINAPI"</formula>
    </cfRule>
  </conditionalFormatting>
  <conditionalFormatting sqref="B200">
    <cfRule type="cellIs" dxfId="1465" priority="1904" stopIfTrue="1" operator="equal">
      <formula>"Cotação Balaroti"</formula>
    </cfRule>
  </conditionalFormatting>
  <conditionalFormatting sqref="A223">
    <cfRule type="cellIs" dxfId="1464" priority="1869" stopIfTrue="1" operator="equal">
      <formula>"SINAPI"</formula>
    </cfRule>
  </conditionalFormatting>
  <conditionalFormatting sqref="B215">
    <cfRule type="cellIs" dxfId="1463" priority="1875" stopIfTrue="1" operator="equal">
      <formula>"Cotação Balaroti"</formula>
    </cfRule>
  </conditionalFormatting>
  <conditionalFormatting sqref="B223">
    <cfRule type="cellIs" dxfId="1462" priority="1868" stopIfTrue="1" operator="equal">
      <formula>"Cotação Balaroti"</formula>
    </cfRule>
  </conditionalFormatting>
  <conditionalFormatting sqref="A225">
    <cfRule type="cellIs" dxfId="1461" priority="1865" stopIfTrue="1" operator="equal">
      <formula>"SINAPI"</formula>
    </cfRule>
  </conditionalFormatting>
  <conditionalFormatting sqref="B257">
    <cfRule type="cellIs" dxfId="1460" priority="1853" stopIfTrue="1" operator="equal">
      <formula>"Cotação Balaroti"</formula>
    </cfRule>
  </conditionalFormatting>
  <conditionalFormatting sqref="A203">
    <cfRule type="cellIs" dxfId="1459" priority="1895" stopIfTrue="1" operator="equal">
      <formula>"SINAPI"</formula>
    </cfRule>
  </conditionalFormatting>
  <conditionalFormatting sqref="B225">
    <cfRule type="cellIs" dxfId="1458" priority="1864" stopIfTrue="1" operator="equal">
      <formula>"Cotação Balaroti"</formula>
    </cfRule>
  </conditionalFormatting>
  <conditionalFormatting sqref="A255">
    <cfRule type="cellIs" dxfId="1457" priority="1858" stopIfTrue="1" operator="equal">
      <formula>"SINAPI"</formula>
    </cfRule>
  </conditionalFormatting>
  <conditionalFormatting sqref="B463">
    <cfRule type="cellIs" dxfId="1456" priority="1829" stopIfTrue="1" operator="equal">
      <formula>"Cotação Balaroti"</formula>
    </cfRule>
  </conditionalFormatting>
  <conditionalFormatting sqref="A207">
    <cfRule type="cellIs" dxfId="1455" priority="1890" stopIfTrue="1" operator="equal">
      <formula>"SINAPI"</formula>
    </cfRule>
  </conditionalFormatting>
  <conditionalFormatting sqref="B209">
    <cfRule type="cellIs" dxfId="1454" priority="1880" stopIfTrue="1" operator="equal">
      <formula>"Cotação Balaroti"</formula>
    </cfRule>
  </conditionalFormatting>
  <conditionalFormatting sqref="B217:B218 B212">
    <cfRule type="cellIs" dxfId="1453" priority="1892" stopIfTrue="1" operator="equal">
      <formula>"Cotação Balaroti"</formula>
    </cfRule>
  </conditionalFormatting>
  <conditionalFormatting sqref="A217:A218 A212:A214">
    <cfRule type="cellIs" dxfId="1452" priority="1893" stopIfTrue="1" operator="equal">
      <formula>"SINAPI"</formula>
    </cfRule>
  </conditionalFormatting>
  <conditionalFormatting sqref="A210">
    <cfRule type="cellIs" dxfId="1451" priority="1886" stopIfTrue="1" operator="equal">
      <formula>"SINAPI"</formula>
    </cfRule>
  </conditionalFormatting>
  <conditionalFormatting sqref="B207">
    <cfRule type="cellIs" dxfId="1450" priority="1889" stopIfTrue="1" operator="equal">
      <formula>"Cotação Balaroti"</formula>
    </cfRule>
  </conditionalFormatting>
  <conditionalFormatting sqref="B211">
    <cfRule type="cellIs" dxfId="1449" priority="1887" stopIfTrue="1" operator="equal">
      <formula>"Cotação Balaroti"</formula>
    </cfRule>
  </conditionalFormatting>
  <conditionalFormatting sqref="A211">
    <cfRule type="cellIs" dxfId="1448" priority="1888" stopIfTrue="1" operator="equal">
      <formula>"SINAPI"</formula>
    </cfRule>
  </conditionalFormatting>
  <conditionalFormatting sqref="B253">
    <cfRule type="cellIs" dxfId="1447" priority="1861" stopIfTrue="1" operator="equal">
      <formula>"Cotação Balaroti"</formula>
    </cfRule>
  </conditionalFormatting>
  <conditionalFormatting sqref="B222">
    <cfRule type="cellIs" dxfId="1446" priority="1871" stopIfTrue="1" operator="equal">
      <formula>"Cotação Balaroti"</formula>
    </cfRule>
  </conditionalFormatting>
  <conditionalFormatting sqref="B283">
    <cfRule type="cellIs" dxfId="1445" priority="1843" stopIfTrue="1" operator="equal">
      <formula>"Cotação Balaroti"</formula>
    </cfRule>
  </conditionalFormatting>
  <conditionalFormatting sqref="B256">
    <cfRule type="cellIs" dxfId="1444" priority="1855" stopIfTrue="1" operator="equal">
      <formula>"Cotação Balaroti"</formula>
    </cfRule>
  </conditionalFormatting>
  <conditionalFormatting sqref="A256">
    <cfRule type="cellIs" dxfId="1443" priority="1856" stopIfTrue="1" operator="equal">
      <formula>"SINAPI"</formula>
    </cfRule>
  </conditionalFormatting>
  <conditionalFormatting sqref="A283">
    <cfRule type="cellIs" dxfId="1442" priority="1844" stopIfTrue="1" operator="equal">
      <formula>"SINAPI"</formula>
    </cfRule>
  </conditionalFormatting>
  <conditionalFormatting sqref="A253">
    <cfRule type="cellIs" dxfId="1441" priority="1862" stopIfTrue="1" operator="equal">
      <formula>"SINAPI"</formula>
    </cfRule>
  </conditionalFormatting>
  <conditionalFormatting sqref="B254">
    <cfRule type="cellIs" dxfId="1440" priority="1860" stopIfTrue="1" operator="equal">
      <formula>"Cotação Balaroti"</formula>
    </cfRule>
  </conditionalFormatting>
  <conditionalFormatting sqref="B255">
    <cfRule type="cellIs" dxfId="1439" priority="1852" stopIfTrue="1" operator="equal">
      <formula>"Cotação Balaroti"</formula>
    </cfRule>
  </conditionalFormatting>
  <conditionalFormatting sqref="A280">
    <cfRule type="cellIs" dxfId="1438" priority="1851" stopIfTrue="1" operator="equal">
      <formula>"SINAPI"</formula>
    </cfRule>
  </conditionalFormatting>
  <conditionalFormatting sqref="A281">
    <cfRule type="cellIs" dxfId="1437" priority="1847" stopIfTrue="1" operator="equal">
      <formula>"SINAPI"</formula>
    </cfRule>
  </conditionalFormatting>
  <conditionalFormatting sqref="B279">
    <cfRule type="cellIs" dxfId="1436" priority="1849" stopIfTrue="1" operator="equal">
      <formula>"Cotação Balaroti"</formula>
    </cfRule>
  </conditionalFormatting>
  <conditionalFormatting sqref="B306:B309">
    <cfRule type="cellIs" dxfId="1435" priority="1773" stopIfTrue="1" operator="equal">
      <formula>"Cotação Balaroti"</formula>
    </cfRule>
  </conditionalFormatting>
  <conditionalFormatting sqref="B282">
    <cfRule type="cellIs" dxfId="1434" priority="1845" stopIfTrue="1" operator="equal">
      <formula>"Cotação Balaroti"</formula>
    </cfRule>
  </conditionalFormatting>
  <conditionalFormatting sqref="A282">
    <cfRule type="cellIs" dxfId="1433" priority="1846" stopIfTrue="1" operator="equal">
      <formula>"SINAPI"</formula>
    </cfRule>
  </conditionalFormatting>
  <conditionalFormatting sqref="A481">
    <cfRule type="cellIs" dxfId="1432" priority="1808" stopIfTrue="1" operator="equal">
      <formula>"SINAPI"</formula>
    </cfRule>
  </conditionalFormatting>
  <conditionalFormatting sqref="A279">
    <cfRule type="cellIs" dxfId="1431" priority="1850" stopIfTrue="1" operator="equal">
      <formula>"SINAPI"</formula>
    </cfRule>
  </conditionalFormatting>
  <conditionalFormatting sqref="B280">
    <cfRule type="cellIs" dxfId="1430" priority="1848" stopIfTrue="1" operator="equal">
      <formula>"Cotação Balaroti"</formula>
    </cfRule>
  </conditionalFormatting>
  <conditionalFormatting sqref="B281">
    <cfRule type="cellIs" dxfId="1429" priority="1842" stopIfTrue="1" operator="equal">
      <formula>"Cotação Balaroti"</formula>
    </cfRule>
  </conditionalFormatting>
  <conditionalFormatting sqref="A269">
    <cfRule type="cellIs" dxfId="1428" priority="1841" stopIfTrue="1" operator="equal">
      <formula>"SINAPI"</formula>
    </cfRule>
  </conditionalFormatting>
  <conditionalFormatting sqref="A267">
    <cfRule type="cellIs" dxfId="1427" priority="1837" stopIfTrue="1" operator="equal">
      <formula>"SINAPI"</formula>
    </cfRule>
  </conditionalFormatting>
  <conditionalFormatting sqref="B269">
    <cfRule type="cellIs" dxfId="1426" priority="1838" stopIfTrue="1" operator="equal">
      <formula>"Cotação Balaroti"</formula>
    </cfRule>
  </conditionalFormatting>
  <conditionalFormatting sqref="B270">
    <cfRule type="cellIs" dxfId="1425" priority="1835" stopIfTrue="1" operator="equal">
      <formula>"Cotação Balaroti"</formula>
    </cfRule>
  </conditionalFormatting>
  <conditionalFormatting sqref="A270">
    <cfRule type="cellIs" dxfId="1424" priority="1836" stopIfTrue="1" operator="equal">
      <formula>"SINAPI"</formula>
    </cfRule>
  </conditionalFormatting>
  <conditionalFormatting sqref="A268">
    <cfRule type="cellIs" dxfId="1423" priority="1840" stopIfTrue="1" operator="equal">
      <formula>"SINAPI"</formula>
    </cfRule>
  </conditionalFormatting>
  <conditionalFormatting sqref="B462">
    <cfRule type="cellIs" dxfId="1422" priority="1830" stopIfTrue="1" operator="equal">
      <formula>"Cotação Balaroti"</formula>
    </cfRule>
  </conditionalFormatting>
  <conditionalFormatting sqref="B267">
    <cfRule type="cellIs" dxfId="1421" priority="1834" stopIfTrue="1" operator="equal">
      <formula>"Cotação Balaroti"</formula>
    </cfRule>
  </conditionalFormatting>
  <conditionalFormatting sqref="B268">
    <cfRule type="cellIs" dxfId="1420" priority="1833" stopIfTrue="1" operator="equal">
      <formula>"Cotação Balaroti"</formula>
    </cfRule>
  </conditionalFormatting>
  <conditionalFormatting sqref="B464">
    <cfRule type="cellIs" dxfId="1419" priority="1825" stopIfTrue="1" operator="equal">
      <formula>"Cotação Balaroti"</formula>
    </cfRule>
  </conditionalFormatting>
  <conditionalFormatting sqref="A463">
    <cfRule type="cellIs" dxfId="1418" priority="1832" stopIfTrue="1" operator="equal">
      <formula>"SINAPI"</formula>
    </cfRule>
  </conditionalFormatting>
  <conditionalFormatting sqref="A464">
    <cfRule type="cellIs" dxfId="1417" priority="1828" stopIfTrue="1" operator="equal">
      <formula>"SINAPI"</formula>
    </cfRule>
  </conditionalFormatting>
  <conditionalFormatting sqref="B479">
    <cfRule type="cellIs" dxfId="1416" priority="1810" stopIfTrue="1" operator="equal">
      <formula>"Cotação Balaroti"</formula>
    </cfRule>
  </conditionalFormatting>
  <conditionalFormatting sqref="B465">
    <cfRule type="cellIs" dxfId="1415" priority="1826" stopIfTrue="1" operator="equal">
      <formula>"Cotação Balaroti"</formula>
    </cfRule>
  </conditionalFormatting>
  <conditionalFormatting sqref="A465">
    <cfRule type="cellIs" dxfId="1414" priority="1827" stopIfTrue="1" operator="equal">
      <formula>"SINAPI"</formula>
    </cfRule>
  </conditionalFormatting>
  <conditionalFormatting sqref="A462">
    <cfRule type="cellIs" dxfId="1413" priority="1831" stopIfTrue="1" operator="equal">
      <formula>"SINAPI"</formula>
    </cfRule>
  </conditionalFormatting>
  <conditionalFormatting sqref="B480">
    <cfRule type="cellIs" dxfId="1412" priority="1809" stopIfTrue="1" operator="equal">
      <formula>"Cotação Balaroti"</formula>
    </cfRule>
  </conditionalFormatting>
  <conditionalFormatting sqref="B470">
    <cfRule type="cellIs" dxfId="1411" priority="1819" stopIfTrue="1" operator="equal">
      <formula>"Cotação Balaroti"</formula>
    </cfRule>
  </conditionalFormatting>
  <conditionalFormatting sqref="B469">
    <cfRule type="cellIs" dxfId="1410" priority="1821" stopIfTrue="1" operator="equal">
      <formula>"Cotação Balaroti"</formula>
    </cfRule>
  </conditionalFormatting>
  <conditionalFormatting sqref="B468">
    <cfRule type="cellIs" dxfId="1409" priority="1822" stopIfTrue="1" operator="equal">
      <formula>"Cotação Balaroti"</formula>
    </cfRule>
  </conditionalFormatting>
  <conditionalFormatting sqref="B475">
    <cfRule type="cellIs" dxfId="1408" priority="1813" stopIfTrue="1" operator="equal">
      <formula>"Cotação Balaroti"</formula>
    </cfRule>
  </conditionalFormatting>
  <conditionalFormatting sqref="A469">
    <cfRule type="cellIs" dxfId="1407" priority="1824" stopIfTrue="1" operator="equal">
      <formula>"SINAPI"</formula>
    </cfRule>
  </conditionalFormatting>
  <conditionalFormatting sqref="A470">
    <cfRule type="cellIs" dxfId="1406" priority="1820" stopIfTrue="1" operator="equal">
      <formula>"SINAPI"</formula>
    </cfRule>
  </conditionalFormatting>
  <conditionalFormatting sqref="A468">
    <cfRule type="cellIs" dxfId="1405" priority="1823" stopIfTrue="1" operator="equal">
      <formula>"SINAPI"</formula>
    </cfRule>
  </conditionalFormatting>
  <conditionalFormatting sqref="B481">
    <cfRule type="cellIs" dxfId="1404" priority="1805" stopIfTrue="1" operator="equal">
      <formula>"Cotação Balaroti"</formula>
    </cfRule>
  </conditionalFormatting>
  <conditionalFormatting sqref="B474">
    <cfRule type="cellIs" dxfId="1403" priority="1815" stopIfTrue="1" operator="equal">
      <formula>"Cotação Balaroti"</formula>
    </cfRule>
  </conditionalFormatting>
  <conditionalFormatting sqref="B473">
    <cfRule type="cellIs" dxfId="1402" priority="1816" stopIfTrue="1" operator="equal">
      <formula>"Cotação Balaroti"</formula>
    </cfRule>
  </conditionalFormatting>
  <conditionalFormatting sqref="A474">
    <cfRule type="cellIs" dxfId="1401" priority="1818" stopIfTrue="1" operator="equal">
      <formula>"SINAPI"</formula>
    </cfRule>
  </conditionalFormatting>
  <conditionalFormatting sqref="A475">
    <cfRule type="cellIs" dxfId="1400" priority="1814" stopIfTrue="1" operator="equal">
      <formula>"SINAPI"</formula>
    </cfRule>
  </conditionalFormatting>
  <conditionalFormatting sqref="A473">
    <cfRule type="cellIs" dxfId="1399" priority="1817" stopIfTrue="1" operator="equal">
      <formula>"SINAPI"</formula>
    </cfRule>
  </conditionalFormatting>
  <conditionalFormatting sqref="B483">
    <cfRule type="cellIs" dxfId="1398" priority="1803" stopIfTrue="1" operator="equal">
      <formula>"Cotação Balaroti"</formula>
    </cfRule>
  </conditionalFormatting>
  <conditionalFormatting sqref="B485">
    <cfRule type="cellIs" dxfId="1397" priority="1800" stopIfTrue="1" operator="equal">
      <formula>"Cotação Balaroti"</formula>
    </cfRule>
  </conditionalFormatting>
  <conditionalFormatting sqref="B484">
    <cfRule type="cellIs" dxfId="1396" priority="1799" stopIfTrue="1" operator="equal">
      <formula>"Cotação Balaroti"</formula>
    </cfRule>
  </conditionalFormatting>
  <conditionalFormatting sqref="A480">
    <cfRule type="cellIs" dxfId="1395" priority="1812" stopIfTrue="1" operator="equal">
      <formula>"SINAPI"</formula>
    </cfRule>
  </conditionalFormatting>
  <conditionalFormatting sqref="A306:A309">
    <cfRule type="cellIs" dxfId="1394" priority="1774" stopIfTrue="1" operator="equal">
      <formula>"SINAPI"</formula>
    </cfRule>
  </conditionalFormatting>
  <conditionalFormatting sqref="B482">
    <cfRule type="cellIs" dxfId="1393" priority="1806" stopIfTrue="1" operator="equal">
      <formula>"Cotação Balaroti"</formula>
    </cfRule>
  </conditionalFormatting>
  <conditionalFormatting sqref="A482">
    <cfRule type="cellIs" dxfId="1392" priority="1807" stopIfTrue="1" operator="equal">
      <formula>"SINAPI"</formula>
    </cfRule>
  </conditionalFormatting>
  <conditionalFormatting sqref="A479">
    <cfRule type="cellIs" dxfId="1391" priority="1811" stopIfTrue="1" operator="equal">
      <formula>"SINAPI"</formula>
    </cfRule>
  </conditionalFormatting>
  <conditionalFormatting sqref="B491">
    <cfRule type="cellIs" dxfId="1390" priority="1795" stopIfTrue="1" operator="equal">
      <formula>"Cotação Balaroti"</formula>
    </cfRule>
  </conditionalFormatting>
  <conditionalFormatting sqref="A483">
    <cfRule type="cellIs" dxfId="1389" priority="1804" stopIfTrue="1" operator="equal">
      <formula>"SINAPI"</formula>
    </cfRule>
  </conditionalFormatting>
  <conditionalFormatting sqref="A484">
    <cfRule type="cellIs" dxfId="1388" priority="1802" stopIfTrue="1" operator="equal">
      <formula>"SINAPI"</formula>
    </cfRule>
  </conditionalFormatting>
  <conditionalFormatting sqref="A485">
    <cfRule type="cellIs" dxfId="1387" priority="1801" stopIfTrue="1" operator="equal">
      <formula>"SINAPI"</formula>
    </cfRule>
  </conditionalFormatting>
  <conditionalFormatting sqref="A492">
    <cfRule type="cellIs" dxfId="1386" priority="1798" stopIfTrue="1" operator="equal">
      <formula>"SINAPI"</formula>
    </cfRule>
  </conditionalFormatting>
  <conditionalFormatting sqref="B492">
    <cfRule type="cellIs" dxfId="1385" priority="1796" stopIfTrue="1" operator="equal">
      <formula>"Cotação Balaroti"</formula>
    </cfRule>
  </conditionalFormatting>
  <conditionalFormatting sqref="A491">
    <cfRule type="cellIs" dxfId="1384" priority="1797" stopIfTrue="1" operator="equal">
      <formula>"SINAPI"</formula>
    </cfRule>
  </conditionalFormatting>
  <conditionalFormatting sqref="B93">
    <cfRule type="cellIs" dxfId="1383" priority="1793" stopIfTrue="1" operator="equal">
      <formula>"Cotação Balaroti"</formula>
    </cfRule>
  </conditionalFormatting>
  <conditionalFormatting sqref="A93">
    <cfRule type="cellIs" dxfId="1382" priority="1794" stopIfTrue="1" operator="equal">
      <formula>"SINAPI"</formula>
    </cfRule>
  </conditionalFormatting>
  <conditionalFormatting sqref="B96">
    <cfRule type="cellIs" dxfId="1381" priority="1791" stopIfTrue="1" operator="equal">
      <formula>"Cotação Balaroti"</formula>
    </cfRule>
  </conditionalFormatting>
  <conditionalFormatting sqref="A96">
    <cfRule type="cellIs" dxfId="1380" priority="1792" stopIfTrue="1" operator="equal">
      <formula>"SINAPI"</formula>
    </cfRule>
  </conditionalFormatting>
  <conditionalFormatting sqref="B242">
    <cfRule type="cellIs" dxfId="1379" priority="1789" stopIfTrue="1" operator="equal">
      <formula>"Cotação Balaroti"</formula>
    </cfRule>
  </conditionalFormatting>
  <conditionalFormatting sqref="A242">
    <cfRule type="cellIs" dxfId="1378" priority="1790" stopIfTrue="1" operator="equal">
      <formula>"SINAPI"</formula>
    </cfRule>
  </conditionalFormatting>
  <conditionalFormatting sqref="A247">
    <cfRule type="cellIs" dxfId="1377" priority="1788" stopIfTrue="1" operator="equal">
      <formula>"SINAPI"</formula>
    </cfRule>
  </conditionalFormatting>
  <conditionalFormatting sqref="B247">
    <cfRule type="cellIs" dxfId="1376" priority="1787" stopIfTrue="1" operator="equal">
      <formula>"Cotação Balaroti"</formula>
    </cfRule>
  </conditionalFormatting>
  <conditionalFormatting sqref="A248:A250">
    <cfRule type="cellIs" dxfId="1375" priority="1786" stopIfTrue="1" operator="equal">
      <formula>"SINAPI"</formula>
    </cfRule>
  </conditionalFormatting>
  <conditionalFormatting sqref="B248:B250">
    <cfRule type="cellIs" dxfId="1374" priority="1785" stopIfTrue="1" operator="equal">
      <formula>"Cotação Balaroti"</formula>
    </cfRule>
  </conditionalFormatting>
  <conditionalFormatting sqref="A273">
    <cfRule type="cellIs" dxfId="1373" priority="1784" stopIfTrue="1" operator="equal">
      <formula>"SINAPI"</formula>
    </cfRule>
  </conditionalFormatting>
  <conditionalFormatting sqref="B273">
    <cfRule type="cellIs" dxfId="1372" priority="1783" stopIfTrue="1" operator="equal">
      <formula>"Cotação Balaroti"</formula>
    </cfRule>
  </conditionalFormatting>
  <conditionalFormatting sqref="A274:A276">
    <cfRule type="cellIs" dxfId="1371" priority="1782" stopIfTrue="1" operator="equal">
      <formula>"SINAPI"</formula>
    </cfRule>
  </conditionalFormatting>
  <conditionalFormatting sqref="B274:B276">
    <cfRule type="cellIs" dxfId="1370" priority="1781" stopIfTrue="1" operator="equal">
      <formula>"Cotação Balaroti"</formula>
    </cfRule>
  </conditionalFormatting>
  <conditionalFormatting sqref="B288:B289">
    <cfRule type="cellIs" dxfId="1369" priority="1779" stopIfTrue="1" operator="equal">
      <formula>"Cotação Balaroti"</formula>
    </cfRule>
  </conditionalFormatting>
  <conditionalFormatting sqref="A288:A289">
    <cfRule type="cellIs" dxfId="1368" priority="1780" stopIfTrue="1" operator="equal">
      <formula>"SINAPI"</formula>
    </cfRule>
  </conditionalFormatting>
  <conditionalFormatting sqref="B296:B302">
    <cfRule type="cellIs" dxfId="1367" priority="1777" stopIfTrue="1" operator="equal">
      <formula>"Cotação Balaroti"</formula>
    </cfRule>
  </conditionalFormatting>
  <conditionalFormatting sqref="A296:A302">
    <cfRule type="cellIs" dxfId="1366" priority="1778" stopIfTrue="1" operator="equal">
      <formula>"SINAPI"</formula>
    </cfRule>
  </conditionalFormatting>
  <conditionalFormatting sqref="B304:B305">
    <cfRule type="cellIs" dxfId="1365" priority="1775" stopIfTrue="1" operator="equal">
      <formula>"Cotação Balaroti"</formula>
    </cfRule>
  </conditionalFormatting>
  <conditionalFormatting sqref="A304:A305">
    <cfRule type="cellIs" dxfId="1364" priority="1776" stopIfTrue="1" operator="equal">
      <formula>"SINAPI"</formula>
    </cfRule>
  </conditionalFormatting>
  <conditionalFormatting sqref="B314:B317">
    <cfRule type="cellIs" dxfId="1363" priority="1769" stopIfTrue="1" operator="equal">
      <formula>"Cotação Balaroti"</formula>
    </cfRule>
  </conditionalFormatting>
  <conditionalFormatting sqref="A314:A317">
    <cfRule type="cellIs" dxfId="1362" priority="1770" stopIfTrue="1" operator="equal">
      <formula>"SINAPI"</formula>
    </cfRule>
  </conditionalFormatting>
  <conditionalFormatting sqref="B312:B313">
    <cfRule type="cellIs" dxfId="1361" priority="1771" stopIfTrue="1" operator="equal">
      <formula>"Cotação Balaroti"</formula>
    </cfRule>
  </conditionalFormatting>
  <conditionalFormatting sqref="A312:A313">
    <cfRule type="cellIs" dxfId="1360" priority="1772" stopIfTrue="1" operator="equal">
      <formula>"SINAPI"</formula>
    </cfRule>
  </conditionalFormatting>
  <conditionalFormatting sqref="B320:B321">
    <cfRule type="cellIs" dxfId="1359" priority="1767" stopIfTrue="1" operator="equal">
      <formula>"Cotação Balaroti"</formula>
    </cfRule>
  </conditionalFormatting>
  <conditionalFormatting sqref="A320:A321">
    <cfRule type="cellIs" dxfId="1358" priority="1768" stopIfTrue="1" operator="equal">
      <formula>"SINAPI"</formula>
    </cfRule>
  </conditionalFormatting>
  <conditionalFormatting sqref="B322:B325">
    <cfRule type="cellIs" dxfId="1357" priority="1765" stopIfTrue="1" operator="equal">
      <formula>"Cotação Balaroti"</formula>
    </cfRule>
  </conditionalFormatting>
  <conditionalFormatting sqref="A322:A325">
    <cfRule type="cellIs" dxfId="1356" priority="1766" stopIfTrue="1" operator="equal">
      <formula>"SINAPI"</formula>
    </cfRule>
  </conditionalFormatting>
  <conditionalFormatting sqref="B330:B331">
    <cfRule type="cellIs" dxfId="1355" priority="1763" stopIfTrue="1" operator="equal">
      <formula>"Cotação Balaroti"</formula>
    </cfRule>
  </conditionalFormatting>
  <conditionalFormatting sqref="A330:A331">
    <cfRule type="cellIs" dxfId="1354" priority="1764" stopIfTrue="1" operator="equal">
      <formula>"SINAPI"</formula>
    </cfRule>
  </conditionalFormatting>
  <conditionalFormatting sqref="B332:B333">
    <cfRule type="cellIs" dxfId="1353" priority="1761" stopIfTrue="1" operator="equal">
      <formula>"Cotação Balaroti"</formula>
    </cfRule>
  </conditionalFormatting>
  <conditionalFormatting sqref="A332:A333">
    <cfRule type="cellIs" dxfId="1352" priority="1762" stopIfTrue="1" operator="equal">
      <formula>"SINAPI"</formula>
    </cfRule>
  </conditionalFormatting>
  <conditionalFormatting sqref="B336:B337">
    <cfRule type="cellIs" dxfId="1351" priority="1759" stopIfTrue="1" operator="equal">
      <formula>"Cotação Balaroti"</formula>
    </cfRule>
  </conditionalFormatting>
  <conditionalFormatting sqref="A336:A337">
    <cfRule type="cellIs" dxfId="1350" priority="1760" stopIfTrue="1" operator="equal">
      <formula>"SINAPI"</formula>
    </cfRule>
  </conditionalFormatting>
  <conditionalFormatting sqref="B338:B339">
    <cfRule type="cellIs" dxfId="1349" priority="1757" stopIfTrue="1" operator="equal">
      <formula>"Cotação Balaroti"</formula>
    </cfRule>
  </conditionalFormatting>
  <conditionalFormatting sqref="A338:A339">
    <cfRule type="cellIs" dxfId="1348" priority="1758" stopIfTrue="1" operator="equal">
      <formula>"SINAPI"</formula>
    </cfRule>
  </conditionalFormatting>
  <conditionalFormatting sqref="B344">
    <cfRule type="cellIs" dxfId="1347" priority="1755" stopIfTrue="1" operator="equal">
      <formula>"Cotação Balaroti"</formula>
    </cfRule>
  </conditionalFormatting>
  <conditionalFormatting sqref="A344">
    <cfRule type="cellIs" dxfId="1346" priority="1756" stopIfTrue="1" operator="equal">
      <formula>"SINAPI"</formula>
    </cfRule>
  </conditionalFormatting>
  <conditionalFormatting sqref="B345">
    <cfRule type="cellIs" dxfId="1345" priority="1753" stopIfTrue="1" operator="equal">
      <formula>"Cotação Balaroti"</formula>
    </cfRule>
  </conditionalFormatting>
  <conditionalFormatting sqref="A345">
    <cfRule type="cellIs" dxfId="1344" priority="1754" stopIfTrue="1" operator="equal">
      <formula>"SINAPI"</formula>
    </cfRule>
  </conditionalFormatting>
  <conditionalFormatting sqref="B346">
    <cfRule type="cellIs" dxfId="1343" priority="1751" stopIfTrue="1" operator="equal">
      <formula>"Cotação Balaroti"</formula>
    </cfRule>
  </conditionalFormatting>
  <conditionalFormatting sqref="A346">
    <cfRule type="cellIs" dxfId="1342" priority="1752" stopIfTrue="1" operator="equal">
      <formula>"SINAPI"</formula>
    </cfRule>
  </conditionalFormatting>
  <conditionalFormatting sqref="B349">
    <cfRule type="cellIs" dxfId="1341" priority="1749" stopIfTrue="1" operator="equal">
      <formula>"Cotação Balaroti"</formula>
    </cfRule>
  </conditionalFormatting>
  <conditionalFormatting sqref="A349">
    <cfRule type="cellIs" dxfId="1340" priority="1750" stopIfTrue="1" operator="equal">
      <formula>"SINAPI"</formula>
    </cfRule>
  </conditionalFormatting>
  <conditionalFormatting sqref="B350">
    <cfRule type="cellIs" dxfId="1339" priority="1747" stopIfTrue="1" operator="equal">
      <formula>"Cotação Balaroti"</formula>
    </cfRule>
  </conditionalFormatting>
  <conditionalFormatting sqref="A350">
    <cfRule type="cellIs" dxfId="1338" priority="1748" stopIfTrue="1" operator="equal">
      <formula>"SINAPI"</formula>
    </cfRule>
  </conditionalFormatting>
  <conditionalFormatting sqref="B351:B352">
    <cfRule type="cellIs" dxfId="1337" priority="1745" stopIfTrue="1" operator="equal">
      <formula>"Cotação Balaroti"</formula>
    </cfRule>
  </conditionalFormatting>
  <conditionalFormatting sqref="A351:A352">
    <cfRule type="cellIs" dxfId="1336" priority="1746" stopIfTrue="1" operator="equal">
      <formula>"SINAPI"</formula>
    </cfRule>
  </conditionalFormatting>
  <conditionalFormatting sqref="B457">
    <cfRule type="cellIs" dxfId="1335" priority="1665" stopIfTrue="1" operator="equal">
      <formula>"Cotação Balaroti"</formula>
    </cfRule>
  </conditionalFormatting>
  <conditionalFormatting sqref="B145">
    <cfRule type="cellIs" dxfId="1334" priority="1659" stopIfTrue="1" operator="equal">
      <formula>"Cotação Balaroti"</formula>
    </cfRule>
  </conditionalFormatting>
  <conditionalFormatting sqref="B357">
    <cfRule type="cellIs" dxfId="1333" priority="1743" stopIfTrue="1" operator="equal">
      <formula>"Cotação Balaroti"</formula>
    </cfRule>
  </conditionalFormatting>
  <conditionalFormatting sqref="A357">
    <cfRule type="cellIs" dxfId="1332" priority="1744" stopIfTrue="1" operator="equal">
      <formula>"SINAPI"</formula>
    </cfRule>
  </conditionalFormatting>
  <conditionalFormatting sqref="B358">
    <cfRule type="cellIs" dxfId="1331" priority="1741" stopIfTrue="1" operator="equal">
      <formula>"Cotação Balaroti"</formula>
    </cfRule>
  </conditionalFormatting>
  <conditionalFormatting sqref="A358">
    <cfRule type="cellIs" dxfId="1330" priority="1742" stopIfTrue="1" operator="equal">
      <formula>"SINAPI"</formula>
    </cfRule>
  </conditionalFormatting>
  <conditionalFormatting sqref="B359:B367">
    <cfRule type="cellIs" dxfId="1329" priority="1739" stopIfTrue="1" operator="equal">
      <formula>"Cotação Balaroti"</formula>
    </cfRule>
  </conditionalFormatting>
  <conditionalFormatting sqref="A359:A367">
    <cfRule type="cellIs" dxfId="1328" priority="1740" stopIfTrue="1" operator="equal">
      <formula>"SINAPI"</formula>
    </cfRule>
  </conditionalFormatting>
  <conditionalFormatting sqref="B370">
    <cfRule type="cellIs" dxfId="1327" priority="1737" stopIfTrue="1" operator="equal">
      <formula>"Cotação Balaroti"</formula>
    </cfRule>
  </conditionalFormatting>
  <conditionalFormatting sqref="A370">
    <cfRule type="cellIs" dxfId="1326" priority="1738" stopIfTrue="1" operator="equal">
      <formula>"SINAPI"</formula>
    </cfRule>
  </conditionalFormatting>
  <conditionalFormatting sqref="B371">
    <cfRule type="cellIs" dxfId="1325" priority="1735" stopIfTrue="1" operator="equal">
      <formula>"Cotação Balaroti"</formula>
    </cfRule>
  </conditionalFormatting>
  <conditionalFormatting sqref="A371">
    <cfRule type="cellIs" dxfId="1324" priority="1736" stopIfTrue="1" operator="equal">
      <formula>"SINAPI"</formula>
    </cfRule>
  </conditionalFormatting>
  <conditionalFormatting sqref="B372 B374">
    <cfRule type="cellIs" dxfId="1323" priority="1733" stopIfTrue="1" operator="equal">
      <formula>"Cotação Balaroti"</formula>
    </cfRule>
  </conditionalFormatting>
  <conditionalFormatting sqref="A372 A374">
    <cfRule type="cellIs" dxfId="1322" priority="1734" stopIfTrue="1" operator="equal">
      <formula>"SINAPI"</formula>
    </cfRule>
  </conditionalFormatting>
  <conditionalFormatting sqref="B378">
    <cfRule type="cellIs" dxfId="1321" priority="1731" stopIfTrue="1" operator="equal">
      <formula>"Cotação Balaroti"</formula>
    </cfRule>
  </conditionalFormatting>
  <conditionalFormatting sqref="A378">
    <cfRule type="cellIs" dxfId="1320" priority="1732" stopIfTrue="1" operator="equal">
      <formula>"SINAPI"</formula>
    </cfRule>
  </conditionalFormatting>
  <conditionalFormatting sqref="B379">
    <cfRule type="cellIs" dxfId="1319" priority="1729" stopIfTrue="1" operator="equal">
      <formula>"Cotação Balaroti"</formula>
    </cfRule>
  </conditionalFormatting>
  <conditionalFormatting sqref="A379">
    <cfRule type="cellIs" dxfId="1318" priority="1730" stopIfTrue="1" operator="equal">
      <formula>"SINAPI"</formula>
    </cfRule>
  </conditionalFormatting>
  <conditionalFormatting sqref="B380:B386">
    <cfRule type="cellIs" dxfId="1317" priority="1727" stopIfTrue="1" operator="equal">
      <formula>"Cotação Balaroti"</formula>
    </cfRule>
  </conditionalFormatting>
  <conditionalFormatting sqref="A380:A386">
    <cfRule type="cellIs" dxfId="1316" priority="1728" stopIfTrue="1" operator="equal">
      <formula>"SINAPI"</formula>
    </cfRule>
  </conditionalFormatting>
  <conditionalFormatting sqref="A390">
    <cfRule type="cellIs" dxfId="1315" priority="1726" stopIfTrue="1" operator="equal">
      <formula>"SINAPI"</formula>
    </cfRule>
  </conditionalFormatting>
  <conditionalFormatting sqref="B390">
    <cfRule type="cellIs" dxfId="1314" priority="1724" stopIfTrue="1" operator="equal">
      <formula>"Cotação Balaroti"</formula>
    </cfRule>
  </conditionalFormatting>
  <conditionalFormatting sqref="A389">
    <cfRule type="cellIs" dxfId="1313" priority="1725" stopIfTrue="1" operator="equal">
      <formula>"SINAPI"</formula>
    </cfRule>
  </conditionalFormatting>
  <conditionalFormatting sqref="B389">
    <cfRule type="cellIs" dxfId="1312" priority="1723" stopIfTrue="1" operator="equal">
      <formula>"Cotação Balaroti"</formula>
    </cfRule>
  </conditionalFormatting>
  <conditionalFormatting sqref="B391:B393">
    <cfRule type="cellIs" dxfId="1311" priority="1721" stopIfTrue="1" operator="equal">
      <formula>"Cotação Balaroti"</formula>
    </cfRule>
  </conditionalFormatting>
  <conditionalFormatting sqref="A391:A393">
    <cfRule type="cellIs" dxfId="1310" priority="1722" stopIfTrue="1" operator="equal">
      <formula>"SINAPI"</formula>
    </cfRule>
  </conditionalFormatting>
  <conditionalFormatting sqref="B396">
    <cfRule type="cellIs" dxfId="1309" priority="1719" stopIfTrue="1" operator="equal">
      <formula>"Cotação Balaroti"</formula>
    </cfRule>
  </conditionalFormatting>
  <conditionalFormatting sqref="A396">
    <cfRule type="cellIs" dxfId="1308" priority="1720" stopIfTrue="1" operator="equal">
      <formula>"SINAPI"</formula>
    </cfRule>
  </conditionalFormatting>
  <conditionalFormatting sqref="B397">
    <cfRule type="cellIs" dxfId="1307" priority="1717" stopIfTrue="1" operator="equal">
      <formula>"Cotação Balaroti"</formula>
    </cfRule>
  </conditionalFormatting>
  <conditionalFormatting sqref="A397">
    <cfRule type="cellIs" dxfId="1306" priority="1718" stopIfTrue="1" operator="equal">
      <formula>"SINAPI"</formula>
    </cfRule>
  </conditionalFormatting>
  <conditionalFormatting sqref="B398">
    <cfRule type="cellIs" dxfId="1305" priority="1715" stopIfTrue="1" operator="equal">
      <formula>"Cotação Balaroti"</formula>
    </cfRule>
  </conditionalFormatting>
  <conditionalFormatting sqref="A398">
    <cfRule type="cellIs" dxfId="1304" priority="1716" stopIfTrue="1" operator="equal">
      <formula>"SINAPI"</formula>
    </cfRule>
  </conditionalFormatting>
  <conditionalFormatting sqref="A411">
    <cfRule type="cellIs" dxfId="1303" priority="1714" stopIfTrue="1" operator="equal">
      <formula>"SINAPI"</formula>
    </cfRule>
  </conditionalFormatting>
  <conditionalFormatting sqref="B411">
    <cfRule type="cellIs" dxfId="1302" priority="1713" stopIfTrue="1" operator="equal">
      <formula>"Cotação Balaroti"</formula>
    </cfRule>
  </conditionalFormatting>
  <conditionalFormatting sqref="A412">
    <cfRule type="cellIs" dxfId="1301" priority="1712" stopIfTrue="1" operator="equal">
      <formula>"SINAPI"</formula>
    </cfRule>
  </conditionalFormatting>
  <conditionalFormatting sqref="B412">
    <cfRule type="cellIs" dxfId="1300" priority="1711" stopIfTrue="1" operator="equal">
      <formula>"Cotação Balaroti"</formula>
    </cfRule>
  </conditionalFormatting>
  <conditionalFormatting sqref="A415">
    <cfRule type="cellIs" dxfId="1299" priority="1710" stopIfTrue="1" operator="equal">
      <formula>"SINAPI"</formula>
    </cfRule>
  </conditionalFormatting>
  <conditionalFormatting sqref="B415">
    <cfRule type="cellIs" dxfId="1298" priority="1709" stopIfTrue="1" operator="equal">
      <formula>"Cotação Balaroti"</formula>
    </cfRule>
  </conditionalFormatting>
  <conditionalFormatting sqref="A416">
    <cfRule type="cellIs" dxfId="1297" priority="1708" stopIfTrue="1" operator="equal">
      <formula>"SINAPI"</formula>
    </cfRule>
  </conditionalFormatting>
  <conditionalFormatting sqref="B416">
    <cfRule type="cellIs" dxfId="1296" priority="1707" stopIfTrue="1" operator="equal">
      <formula>"Cotação Balaroti"</formula>
    </cfRule>
  </conditionalFormatting>
  <conditionalFormatting sqref="A419">
    <cfRule type="cellIs" dxfId="1295" priority="1706" stopIfTrue="1" operator="equal">
      <formula>"SINAPI"</formula>
    </cfRule>
  </conditionalFormatting>
  <conditionalFormatting sqref="B419">
    <cfRule type="cellIs" dxfId="1294" priority="1705" stopIfTrue="1" operator="equal">
      <formula>"Cotação Balaroti"</formula>
    </cfRule>
  </conditionalFormatting>
  <conditionalFormatting sqref="A423">
    <cfRule type="cellIs" dxfId="1293" priority="1704" stopIfTrue="1" operator="equal">
      <formula>"SINAPI"</formula>
    </cfRule>
  </conditionalFormatting>
  <conditionalFormatting sqref="B423">
    <cfRule type="cellIs" dxfId="1292" priority="1703" stopIfTrue="1" operator="equal">
      <formula>"Cotação Balaroti"</formula>
    </cfRule>
  </conditionalFormatting>
  <conditionalFormatting sqref="A420">
    <cfRule type="cellIs" dxfId="1291" priority="1702" stopIfTrue="1" operator="equal">
      <formula>"SINAPI"</formula>
    </cfRule>
  </conditionalFormatting>
  <conditionalFormatting sqref="B420">
    <cfRule type="cellIs" dxfId="1290" priority="1701" stopIfTrue="1" operator="equal">
      <formula>"Cotação Balaroti"</formula>
    </cfRule>
  </conditionalFormatting>
  <conditionalFormatting sqref="A424">
    <cfRule type="cellIs" dxfId="1289" priority="1700" stopIfTrue="1" operator="equal">
      <formula>"SINAPI"</formula>
    </cfRule>
  </conditionalFormatting>
  <conditionalFormatting sqref="B424">
    <cfRule type="cellIs" dxfId="1288" priority="1699" stopIfTrue="1" operator="equal">
      <formula>"Cotação Balaroti"</formula>
    </cfRule>
  </conditionalFormatting>
  <conditionalFormatting sqref="B428">
    <cfRule type="cellIs" dxfId="1287" priority="1697" stopIfTrue="1" operator="equal">
      <formula>"Cotação Balaroti"</formula>
    </cfRule>
  </conditionalFormatting>
  <conditionalFormatting sqref="A428">
    <cfRule type="cellIs" dxfId="1286" priority="1698" stopIfTrue="1" operator="equal">
      <formula>"SINAPI"</formula>
    </cfRule>
  </conditionalFormatting>
  <conditionalFormatting sqref="B429">
    <cfRule type="cellIs" dxfId="1285" priority="1695" stopIfTrue="1" operator="equal">
      <formula>"Cotação Balaroti"</formula>
    </cfRule>
  </conditionalFormatting>
  <conditionalFormatting sqref="A429">
    <cfRule type="cellIs" dxfId="1284" priority="1696" stopIfTrue="1" operator="equal">
      <formula>"SINAPI"</formula>
    </cfRule>
  </conditionalFormatting>
  <conditionalFormatting sqref="B430:B431">
    <cfRule type="cellIs" dxfId="1283" priority="1693" stopIfTrue="1" operator="equal">
      <formula>"Cotação Balaroti"</formula>
    </cfRule>
  </conditionalFormatting>
  <conditionalFormatting sqref="A430:A431">
    <cfRule type="cellIs" dxfId="1282" priority="1694" stopIfTrue="1" operator="equal">
      <formula>"SINAPI"</formula>
    </cfRule>
  </conditionalFormatting>
  <conditionalFormatting sqref="B434">
    <cfRule type="cellIs" dxfId="1281" priority="1691" stopIfTrue="1" operator="equal">
      <formula>"Cotação Balaroti"</formula>
    </cfRule>
  </conditionalFormatting>
  <conditionalFormatting sqref="A434">
    <cfRule type="cellIs" dxfId="1280" priority="1692" stopIfTrue="1" operator="equal">
      <formula>"SINAPI"</formula>
    </cfRule>
  </conditionalFormatting>
  <conditionalFormatting sqref="B435">
    <cfRule type="cellIs" dxfId="1279" priority="1689" stopIfTrue="1" operator="equal">
      <formula>"Cotação Balaroti"</formula>
    </cfRule>
  </conditionalFormatting>
  <conditionalFormatting sqref="A435">
    <cfRule type="cellIs" dxfId="1278" priority="1690" stopIfTrue="1" operator="equal">
      <formula>"SINAPI"</formula>
    </cfRule>
  </conditionalFormatting>
  <conditionalFormatting sqref="B436">
    <cfRule type="cellIs" dxfId="1277" priority="1687" stopIfTrue="1" operator="equal">
      <formula>"Cotação Balaroti"</formula>
    </cfRule>
  </conditionalFormatting>
  <conditionalFormatting sqref="A436">
    <cfRule type="cellIs" dxfId="1276" priority="1688" stopIfTrue="1" operator="equal">
      <formula>"SINAPI"</formula>
    </cfRule>
  </conditionalFormatting>
  <conditionalFormatting sqref="A440">
    <cfRule type="cellIs" dxfId="1275" priority="1686" stopIfTrue="1" operator="equal">
      <formula>"SINAPI"</formula>
    </cfRule>
  </conditionalFormatting>
  <conditionalFormatting sqref="B440">
    <cfRule type="cellIs" dxfId="1274" priority="1684" stopIfTrue="1" operator="equal">
      <formula>"Cotação Balaroti"</formula>
    </cfRule>
  </conditionalFormatting>
  <conditionalFormatting sqref="A439">
    <cfRule type="cellIs" dxfId="1273" priority="1685" stopIfTrue="1" operator="equal">
      <formula>"SINAPI"</formula>
    </cfRule>
  </conditionalFormatting>
  <conditionalFormatting sqref="B439">
    <cfRule type="cellIs" dxfId="1272" priority="1683" stopIfTrue="1" operator="equal">
      <formula>"Cotação Balaroti"</formula>
    </cfRule>
  </conditionalFormatting>
  <conditionalFormatting sqref="A441">
    <cfRule type="cellIs" dxfId="1271" priority="1682" stopIfTrue="1" operator="equal">
      <formula>"SINAPI"</formula>
    </cfRule>
  </conditionalFormatting>
  <conditionalFormatting sqref="B441">
    <cfRule type="cellIs" dxfId="1270" priority="1681" stopIfTrue="1" operator="equal">
      <formula>"Cotação Balaroti"</formula>
    </cfRule>
  </conditionalFormatting>
  <conditionalFormatting sqref="A445">
    <cfRule type="cellIs" dxfId="1269" priority="1680" stopIfTrue="1" operator="equal">
      <formula>"SINAPI"</formula>
    </cfRule>
  </conditionalFormatting>
  <conditionalFormatting sqref="B445">
    <cfRule type="cellIs" dxfId="1268" priority="1678" stopIfTrue="1" operator="equal">
      <formula>"Cotação Balaroti"</formula>
    </cfRule>
  </conditionalFormatting>
  <conditionalFormatting sqref="A444">
    <cfRule type="cellIs" dxfId="1267" priority="1679" stopIfTrue="1" operator="equal">
      <formula>"SINAPI"</formula>
    </cfRule>
  </conditionalFormatting>
  <conditionalFormatting sqref="B444">
    <cfRule type="cellIs" dxfId="1266" priority="1677" stopIfTrue="1" operator="equal">
      <formula>"Cotação Balaroti"</formula>
    </cfRule>
  </conditionalFormatting>
  <conditionalFormatting sqref="A446">
    <cfRule type="cellIs" dxfId="1265" priority="1676" stopIfTrue="1" operator="equal">
      <formula>"SINAPI"</formula>
    </cfRule>
  </conditionalFormatting>
  <conditionalFormatting sqref="B446">
    <cfRule type="cellIs" dxfId="1264" priority="1675" stopIfTrue="1" operator="equal">
      <formula>"Cotação Balaroti"</formula>
    </cfRule>
  </conditionalFormatting>
  <conditionalFormatting sqref="B449">
    <cfRule type="cellIs" dxfId="1263" priority="1673" stopIfTrue="1" operator="equal">
      <formula>"Cotação Balaroti"</formula>
    </cfRule>
  </conditionalFormatting>
  <conditionalFormatting sqref="A449">
    <cfRule type="cellIs" dxfId="1262" priority="1674" stopIfTrue="1" operator="equal">
      <formula>"SINAPI"</formula>
    </cfRule>
  </conditionalFormatting>
  <conditionalFormatting sqref="B450">
    <cfRule type="cellIs" dxfId="1261" priority="1671" stopIfTrue="1" operator="equal">
      <formula>"Cotação Balaroti"</formula>
    </cfRule>
  </conditionalFormatting>
  <conditionalFormatting sqref="A450">
    <cfRule type="cellIs" dxfId="1260" priority="1672" stopIfTrue="1" operator="equal">
      <formula>"SINAPI"</formula>
    </cfRule>
  </conditionalFormatting>
  <conditionalFormatting sqref="B451:B453">
    <cfRule type="cellIs" dxfId="1259" priority="1669" stopIfTrue="1" operator="equal">
      <formula>"Cotação Balaroti"</formula>
    </cfRule>
  </conditionalFormatting>
  <conditionalFormatting sqref="A451:A453">
    <cfRule type="cellIs" dxfId="1258" priority="1670" stopIfTrue="1" operator="equal">
      <formula>"SINAPI"</formula>
    </cfRule>
  </conditionalFormatting>
  <conditionalFormatting sqref="B456">
    <cfRule type="cellIs" dxfId="1257" priority="1667" stopIfTrue="1" operator="equal">
      <formula>"Cotação Balaroti"</formula>
    </cfRule>
  </conditionalFormatting>
  <conditionalFormatting sqref="A456">
    <cfRule type="cellIs" dxfId="1256" priority="1668" stopIfTrue="1" operator="equal">
      <formula>"SINAPI"</formula>
    </cfRule>
  </conditionalFormatting>
  <conditionalFormatting sqref="B500:B501">
    <cfRule type="cellIs" dxfId="1255" priority="1657" stopIfTrue="1" operator="equal">
      <formula>"Cotação Balaroti"</formula>
    </cfRule>
  </conditionalFormatting>
  <conditionalFormatting sqref="A457">
    <cfRule type="cellIs" dxfId="1254" priority="1666" stopIfTrue="1" operator="equal">
      <formula>"SINAPI"</formula>
    </cfRule>
  </conditionalFormatting>
  <conditionalFormatting sqref="B99:B100">
    <cfRule type="cellIs" dxfId="1253" priority="1663" stopIfTrue="1" operator="equal">
      <formula>"Cotação Balaroti"</formula>
    </cfRule>
  </conditionalFormatting>
  <conditionalFormatting sqref="A99:A100">
    <cfRule type="cellIs" dxfId="1252" priority="1664" stopIfTrue="1" operator="equal">
      <formula>"SINAPI"</formula>
    </cfRule>
  </conditionalFormatting>
  <conditionalFormatting sqref="B142">
    <cfRule type="cellIs" dxfId="1251" priority="1661" stopIfTrue="1" operator="equal">
      <formula>"Cotação Balaroti"</formula>
    </cfRule>
  </conditionalFormatting>
  <conditionalFormatting sqref="A142">
    <cfRule type="cellIs" dxfId="1250" priority="1662" stopIfTrue="1" operator="equal">
      <formula>"SINAPI"</formula>
    </cfRule>
  </conditionalFormatting>
  <conditionalFormatting sqref="B504">
    <cfRule type="cellIs" dxfId="1249" priority="1655" stopIfTrue="1" operator="equal">
      <formula>"Cotação Balaroti"</formula>
    </cfRule>
  </conditionalFormatting>
  <conditionalFormatting sqref="A145">
    <cfRule type="cellIs" dxfId="1248" priority="1660" stopIfTrue="1" operator="equal">
      <formula>"SINAPI"</formula>
    </cfRule>
  </conditionalFormatting>
  <conditionalFormatting sqref="B507:B508">
    <cfRule type="cellIs" dxfId="1247" priority="1653" stopIfTrue="1" operator="equal">
      <formula>"Cotação Balaroti"</formula>
    </cfRule>
  </conditionalFormatting>
  <conditionalFormatting sqref="A500:A501">
    <cfRule type="cellIs" dxfId="1246" priority="1658" stopIfTrue="1" operator="equal">
      <formula>"SINAPI"</formula>
    </cfRule>
  </conditionalFormatting>
  <conditionalFormatting sqref="B520">
    <cfRule type="cellIs" dxfId="1245" priority="1645" stopIfTrue="1" operator="equal">
      <formula>"Cotação Balaroti"</formula>
    </cfRule>
  </conditionalFormatting>
  <conditionalFormatting sqref="A504">
    <cfRule type="cellIs" dxfId="1244" priority="1656" stopIfTrue="1" operator="equal">
      <formula>"SINAPI"</formula>
    </cfRule>
  </conditionalFormatting>
  <conditionalFormatting sqref="B529">
    <cfRule type="cellIs" dxfId="1243" priority="1639" stopIfTrue="1" operator="equal">
      <formula>"Cotação Balaroti"</formula>
    </cfRule>
  </conditionalFormatting>
  <conditionalFormatting sqref="A507:A508">
    <cfRule type="cellIs" dxfId="1242" priority="1654" stopIfTrue="1" operator="equal">
      <formula>"SINAPI"</formula>
    </cfRule>
  </conditionalFormatting>
  <conditionalFormatting sqref="B511">
    <cfRule type="cellIs" dxfId="1241" priority="1651" stopIfTrue="1" operator="equal">
      <formula>"Cotação Balaroti"</formula>
    </cfRule>
  </conditionalFormatting>
  <conditionalFormatting sqref="A511">
    <cfRule type="cellIs" dxfId="1240" priority="1652" stopIfTrue="1" operator="equal">
      <formula>"SINAPI"</formula>
    </cfRule>
  </conditionalFormatting>
  <conditionalFormatting sqref="B514">
    <cfRule type="cellIs" dxfId="1239" priority="1649" stopIfTrue="1" operator="equal">
      <formula>"Cotação Balaroti"</formula>
    </cfRule>
  </conditionalFormatting>
  <conditionalFormatting sqref="A514">
    <cfRule type="cellIs" dxfId="1238" priority="1650" stopIfTrue="1" operator="equal">
      <formula>"SINAPI"</formula>
    </cfRule>
  </conditionalFormatting>
  <conditionalFormatting sqref="B517">
    <cfRule type="cellIs" dxfId="1237" priority="1647" stopIfTrue="1" operator="equal">
      <formula>"Cotação Balaroti"</formula>
    </cfRule>
  </conditionalFormatting>
  <conditionalFormatting sqref="A517">
    <cfRule type="cellIs" dxfId="1236" priority="1648" stopIfTrue="1" operator="equal">
      <formula>"SINAPI"</formula>
    </cfRule>
  </conditionalFormatting>
  <conditionalFormatting sqref="B538:B544">
    <cfRule type="cellIs" dxfId="1235" priority="1635" stopIfTrue="1" operator="equal">
      <formula>"Cotação Balaroti"</formula>
    </cfRule>
  </conditionalFormatting>
  <conditionalFormatting sqref="A520">
    <cfRule type="cellIs" dxfId="1234" priority="1646" stopIfTrue="1" operator="equal">
      <formula>"SINAPI"</formula>
    </cfRule>
  </conditionalFormatting>
  <conditionalFormatting sqref="B523">
    <cfRule type="cellIs" dxfId="1233" priority="1643" stopIfTrue="1" operator="equal">
      <formula>"Cotação Balaroti"</formula>
    </cfRule>
  </conditionalFormatting>
  <conditionalFormatting sqref="A523">
    <cfRule type="cellIs" dxfId="1232" priority="1644" stopIfTrue="1" operator="equal">
      <formula>"SINAPI"</formula>
    </cfRule>
  </conditionalFormatting>
  <conditionalFormatting sqref="B526">
    <cfRule type="cellIs" dxfId="1231" priority="1641" stopIfTrue="1" operator="equal">
      <formula>"Cotação Balaroti"</formula>
    </cfRule>
  </conditionalFormatting>
  <conditionalFormatting sqref="A526">
    <cfRule type="cellIs" dxfId="1230" priority="1642" stopIfTrue="1" operator="equal">
      <formula>"SINAPI"</formula>
    </cfRule>
  </conditionalFormatting>
  <conditionalFormatting sqref="B548">
    <cfRule type="cellIs" dxfId="1229" priority="1630" stopIfTrue="1" operator="equal">
      <formula>"Cotação Balaroti"</formula>
    </cfRule>
  </conditionalFormatting>
  <conditionalFormatting sqref="A529">
    <cfRule type="cellIs" dxfId="1228" priority="1640" stopIfTrue="1" operator="equal">
      <formula>"SINAPI"</formula>
    </cfRule>
  </conditionalFormatting>
  <conditionalFormatting sqref="B537">
    <cfRule type="cellIs" dxfId="1227" priority="1637" stopIfTrue="1" operator="equal">
      <formula>"Cotação Balaroti"</formula>
    </cfRule>
  </conditionalFormatting>
  <conditionalFormatting sqref="A537">
    <cfRule type="cellIs" dxfId="1226" priority="1638" stopIfTrue="1" operator="equal">
      <formula>"SINAPI"</formula>
    </cfRule>
  </conditionalFormatting>
  <conditionalFormatting sqref="B564">
    <cfRule type="cellIs" dxfId="1225" priority="1621" stopIfTrue="1" operator="equal">
      <formula>"Cotação Balaroti"</formula>
    </cfRule>
  </conditionalFormatting>
  <conditionalFormatting sqref="A538:A544">
    <cfRule type="cellIs" dxfId="1224" priority="1636" stopIfTrue="1" operator="equal">
      <formula>"SINAPI"</formula>
    </cfRule>
  </conditionalFormatting>
  <conditionalFormatting sqref="A548:A553">
    <cfRule type="cellIs" dxfId="1223" priority="1632" stopIfTrue="1" operator="equal">
      <formula>"SINAPI"</formula>
    </cfRule>
  </conditionalFormatting>
  <conditionalFormatting sqref="B549:B553">
    <cfRule type="cellIs" dxfId="1222" priority="1631" stopIfTrue="1" operator="equal">
      <formula>"Cotação Balaroti"</formula>
    </cfRule>
  </conditionalFormatting>
  <conditionalFormatting sqref="B547">
    <cfRule type="cellIs" dxfId="1221" priority="1633" stopIfTrue="1" operator="equal">
      <formula>"Cotação Balaroti"</formula>
    </cfRule>
  </conditionalFormatting>
  <conditionalFormatting sqref="A547">
    <cfRule type="cellIs" dxfId="1220" priority="1634" stopIfTrue="1" operator="equal">
      <formula>"SINAPI"</formula>
    </cfRule>
  </conditionalFormatting>
  <conditionalFormatting sqref="B572">
    <cfRule type="cellIs" dxfId="1219" priority="1610" stopIfTrue="1" operator="equal">
      <formula>"Cotação Balaroti"</formula>
    </cfRule>
  </conditionalFormatting>
  <conditionalFormatting sqref="B562">
    <cfRule type="cellIs" dxfId="1218" priority="1627" stopIfTrue="1" operator="equal">
      <formula>"Cotação Balaroti"</formula>
    </cfRule>
  </conditionalFormatting>
  <conditionalFormatting sqref="A561">
    <cfRule type="cellIs" dxfId="1217" priority="1626" stopIfTrue="1" operator="equal">
      <formula>"SINAPI"</formula>
    </cfRule>
  </conditionalFormatting>
  <conditionalFormatting sqref="B563">
    <cfRule type="cellIs" dxfId="1216" priority="1628" stopIfTrue="1" operator="equal">
      <formula>"Cotação Balaroti"</formula>
    </cfRule>
  </conditionalFormatting>
  <conditionalFormatting sqref="A562:A563">
    <cfRule type="cellIs" dxfId="1215" priority="1629" stopIfTrue="1" operator="equal">
      <formula>"SINAPI"</formula>
    </cfRule>
  </conditionalFormatting>
  <conditionalFormatting sqref="B561">
    <cfRule type="cellIs" dxfId="1214" priority="1625" stopIfTrue="1" operator="equal">
      <formula>"Cotação Balaroti"</formula>
    </cfRule>
  </conditionalFormatting>
  <conditionalFormatting sqref="B565">
    <cfRule type="cellIs" dxfId="1213" priority="1623" stopIfTrue="1" operator="equal">
      <formula>"Cotação Balaroti"</formula>
    </cfRule>
  </conditionalFormatting>
  <conditionalFormatting sqref="A565">
    <cfRule type="cellIs" dxfId="1212" priority="1624" stopIfTrue="1" operator="equal">
      <formula>"SINAPI"</formula>
    </cfRule>
  </conditionalFormatting>
  <conditionalFormatting sqref="B585">
    <cfRule type="cellIs" dxfId="1211" priority="1593" stopIfTrue="1" operator="equal">
      <formula>"Cotação Balaroti"</formula>
    </cfRule>
  </conditionalFormatting>
  <conditionalFormatting sqref="A564">
    <cfRule type="cellIs" dxfId="1210" priority="1622" stopIfTrue="1" operator="equal">
      <formula>"SINAPI"</formula>
    </cfRule>
  </conditionalFormatting>
  <conditionalFormatting sqref="B558">
    <cfRule type="cellIs" dxfId="1209" priority="1619" stopIfTrue="1" operator="equal">
      <formula>"Cotação Balaroti"</formula>
    </cfRule>
  </conditionalFormatting>
  <conditionalFormatting sqref="A557:A558">
    <cfRule type="cellIs" dxfId="1208" priority="1620" stopIfTrue="1" operator="equal">
      <formula>"SINAPI"</formula>
    </cfRule>
  </conditionalFormatting>
  <conditionalFormatting sqref="B557">
    <cfRule type="cellIs" dxfId="1207" priority="1618" stopIfTrue="1" operator="equal">
      <formula>"Cotação Balaroti"</formula>
    </cfRule>
  </conditionalFormatting>
  <conditionalFormatting sqref="A556">
    <cfRule type="cellIs" dxfId="1206" priority="1617" stopIfTrue="1" operator="equal">
      <formula>"SINAPI"</formula>
    </cfRule>
  </conditionalFormatting>
  <conditionalFormatting sqref="B556">
    <cfRule type="cellIs" dxfId="1205" priority="1616" stopIfTrue="1" operator="equal">
      <formula>"Cotação Balaroti"</formula>
    </cfRule>
  </conditionalFormatting>
  <conditionalFormatting sqref="B575">
    <cfRule type="cellIs" dxfId="1204" priority="1612" stopIfTrue="1" operator="equal">
      <formula>"Cotação Balaroti"</formula>
    </cfRule>
  </conditionalFormatting>
  <conditionalFormatting sqref="A575">
    <cfRule type="cellIs" dxfId="1203" priority="1613" stopIfTrue="1" operator="equal">
      <formula>"SINAPI"</formula>
    </cfRule>
  </conditionalFormatting>
  <conditionalFormatting sqref="B592">
    <cfRule type="cellIs" dxfId="1202" priority="1595" stopIfTrue="1" operator="equal">
      <formula>"Cotação Balaroti"</formula>
    </cfRule>
  </conditionalFormatting>
  <conditionalFormatting sqref="A592">
    <cfRule type="cellIs" dxfId="1201" priority="1596" stopIfTrue="1" operator="equal">
      <formula>"SINAPI"</formula>
    </cfRule>
  </conditionalFormatting>
  <conditionalFormatting sqref="B593">
    <cfRule type="cellIs" dxfId="1200" priority="1591" stopIfTrue="1" operator="equal">
      <formula>"Cotação Balaroti"</formula>
    </cfRule>
  </conditionalFormatting>
  <conditionalFormatting sqref="A572">
    <cfRule type="cellIs" dxfId="1199" priority="1611" stopIfTrue="1" operator="equal">
      <formula>"SINAPI"</formula>
    </cfRule>
  </conditionalFormatting>
  <conditionalFormatting sqref="B594:B595 B589">
    <cfRule type="cellIs" dxfId="1198" priority="1608" stopIfTrue="1" operator="equal">
      <formula>"Cotação Balaroti"</formula>
    </cfRule>
  </conditionalFormatting>
  <conditionalFormatting sqref="A594:A595 A589:A591">
    <cfRule type="cellIs" dxfId="1197" priority="1609" stopIfTrue="1" operator="equal">
      <formula>"SINAPI"</formula>
    </cfRule>
  </conditionalFormatting>
  <conditionalFormatting sqref="B606">
    <cfRule type="cellIs" dxfId="1196" priority="1574" stopIfTrue="1" operator="equal">
      <formula>"Cotação Balaroti"</formula>
    </cfRule>
  </conditionalFormatting>
  <conditionalFormatting sqref="A584">
    <cfRule type="cellIs" dxfId="1195" priority="1606" stopIfTrue="1" operator="equal">
      <formula>"SINAPI"</formula>
    </cfRule>
  </conditionalFormatting>
  <conditionalFormatting sqref="A585:A586">
    <cfRule type="cellIs" dxfId="1194" priority="1607" stopIfTrue="1" operator="equal">
      <formula>"SINAPI"</formula>
    </cfRule>
  </conditionalFormatting>
  <conditionalFormatting sqref="B584">
    <cfRule type="cellIs" dxfId="1193" priority="1605" stopIfTrue="1" operator="equal">
      <formula>"Cotação Balaroti"</formula>
    </cfRule>
  </conditionalFormatting>
  <conditionalFormatting sqref="B588">
    <cfRule type="cellIs" dxfId="1192" priority="1603" stopIfTrue="1" operator="equal">
      <formula>"Cotação Balaroti"</formula>
    </cfRule>
  </conditionalFormatting>
  <conditionalFormatting sqref="A588">
    <cfRule type="cellIs" dxfId="1191" priority="1604" stopIfTrue="1" operator="equal">
      <formula>"SINAPI"</formula>
    </cfRule>
  </conditionalFormatting>
  <conditionalFormatting sqref="B587">
    <cfRule type="cellIs" dxfId="1190" priority="1601" stopIfTrue="1" operator="equal">
      <formula>"Cotação Balaroti"</formula>
    </cfRule>
  </conditionalFormatting>
  <conditionalFormatting sqref="A587">
    <cfRule type="cellIs" dxfId="1189" priority="1602" stopIfTrue="1" operator="equal">
      <formula>"SINAPI"</formula>
    </cfRule>
  </conditionalFormatting>
  <conditionalFormatting sqref="B590">
    <cfRule type="cellIs" dxfId="1188" priority="1599" stopIfTrue="1" operator="equal">
      <formula>"Cotação Balaroti"</formula>
    </cfRule>
  </conditionalFormatting>
  <conditionalFormatting sqref="A606">
    <cfRule type="cellIs" dxfId="1187" priority="1579" stopIfTrue="1" operator="equal">
      <formula>"SINAPI"</formula>
    </cfRule>
  </conditionalFormatting>
  <conditionalFormatting sqref="B591">
    <cfRule type="cellIs" dxfId="1186" priority="1600" stopIfTrue="1" operator="equal">
      <formula>"Cotação Balaroti"</formula>
    </cfRule>
  </conditionalFormatting>
  <conditionalFormatting sqref="B627">
    <cfRule type="cellIs" dxfId="1185" priority="1542" stopIfTrue="1" operator="equal">
      <formula>"Cotação Balaroti"</formula>
    </cfRule>
  </conditionalFormatting>
  <conditionalFormatting sqref="B599">
    <cfRule type="cellIs" dxfId="1184" priority="1576" stopIfTrue="1" operator="equal">
      <formula>"Cotação Balaroti"</formula>
    </cfRule>
  </conditionalFormatting>
  <conditionalFormatting sqref="A628">
    <cfRule type="cellIs" dxfId="1183" priority="1541" stopIfTrue="1" operator="equal">
      <formula>"SINAPI"</formula>
    </cfRule>
  </conditionalFormatting>
  <conditionalFormatting sqref="B586">
    <cfRule type="cellIs" dxfId="1182" priority="1594" stopIfTrue="1" operator="equal">
      <formula>"Cotação Balaroti"</formula>
    </cfRule>
  </conditionalFormatting>
  <conditionalFormatting sqref="A593">
    <cfRule type="cellIs" dxfId="1181" priority="1592" stopIfTrue="1" operator="equal">
      <formula>"SINAPI"</formula>
    </cfRule>
  </conditionalFormatting>
  <conditionalFormatting sqref="B620">
    <cfRule type="cellIs" dxfId="1180" priority="1557" stopIfTrue="1" operator="equal">
      <formula>"Cotação Balaroti"</formula>
    </cfRule>
  </conditionalFormatting>
  <conditionalFormatting sqref="B601">
    <cfRule type="cellIs" dxfId="1179" priority="1584" stopIfTrue="1" operator="equal">
      <formula>"Cotação Balaroti"</formula>
    </cfRule>
  </conditionalFormatting>
  <conditionalFormatting sqref="B604">
    <cfRule type="cellIs" dxfId="1178" priority="1581" stopIfTrue="1" operator="equal">
      <formula>"Cotação Balaroti"</formula>
    </cfRule>
  </conditionalFormatting>
  <conditionalFormatting sqref="B629">
    <cfRule type="cellIs" dxfId="1177" priority="1538" stopIfTrue="1" operator="equal">
      <formula>"Cotação Balaroti"</formula>
    </cfRule>
  </conditionalFormatting>
  <conditionalFormatting sqref="A607:A608 A602:A604">
    <cfRule type="cellIs" dxfId="1176" priority="1590" stopIfTrue="1" operator="equal">
      <formula>"SINAPI"</formula>
    </cfRule>
  </conditionalFormatting>
  <conditionalFormatting sqref="B597">
    <cfRule type="cellIs" dxfId="1175" priority="1586" stopIfTrue="1" operator="equal">
      <formula>"Cotação Balaroti"</formula>
    </cfRule>
  </conditionalFormatting>
  <conditionalFormatting sqref="A597">
    <cfRule type="cellIs" dxfId="1174" priority="1587" stopIfTrue="1" operator="equal">
      <formula>"SINAPI"</formula>
    </cfRule>
  </conditionalFormatting>
  <conditionalFormatting sqref="A601">
    <cfRule type="cellIs" dxfId="1173" priority="1585" stopIfTrue="1" operator="equal">
      <formula>"SINAPI"</formula>
    </cfRule>
  </conditionalFormatting>
  <conditionalFormatting sqref="B600">
    <cfRule type="cellIs" dxfId="1172" priority="1582" stopIfTrue="1" operator="equal">
      <formula>"Cotação Balaroti"</formula>
    </cfRule>
  </conditionalFormatting>
  <conditionalFormatting sqref="A600">
    <cfRule type="cellIs" dxfId="1171" priority="1583" stopIfTrue="1" operator="equal">
      <formula>"SINAPI"</formula>
    </cfRule>
  </conditionalFormatting>
  <conditionalFormatting sqref="B613">
    <cfRule type="cellIs" dxfId="1170" priority="1559" stopIfTrue="1" operator="equal">
      <formula>"Cotação Balaroti"</formula>
    </cfRule>
  </conditionalFormatting>
  <conditionalFormatting sqref="B598">
    <cfRule type="cellIs" dxfId="1169" priority="1575" stopIfTrue="1" operator="equal">
      <formula>"Cotação Balaroti"</formula>
    </cfRule>
  </conditionalFormatting>
  <conditionalFormatting sqref="B607:B608 B602">
    <cfRule type="cellIs" dxfId="1168" priority="1589" stopIfTrue="1" operator="equal">
      <formula>"Cotação Balaroti"</formula>
    </cfRule>
  </conditionalFormatting>
  <conditionalFormatting sqref="A598:A599">
    <cfRule type="cellIs" dxfId="1167" priority="1588" stopIfTrue="1" operator="equal">
      <formula>"SINAPI"</formula>
    </cfRule>
  </conditionalFormatting>
  <conditionalFormatting sqref="B603">
    <cfRule type="cellIs" dxfId="1166" priority="1580" stopIfTrue="1" operator="equal">
      <formula>"Cotação Balaroti"</formula>
    </cfRule>
  </conditionalFormatting>
  <conditionalFormatting sqref="A620">
    <cfRule type="cellIs" dxfId="1165" priority="1562" stopIfTrue="1" operator="equal">
      <formula>"SINAPI"</formula>
    </cfRule>
  </conditionalFormatting>
  <conditionalFormatting sqref="B605">
    <cfRule type="cellIs" dxfId="1164" priority="1577" stopIfTrue="1" operator="equal">
      <formula>"Cotação Balaroti"</formula>
    </cfRule>
  </conditionalFormatting>
  <conditionalFormatting sqref="A605">
    <cfRule type="cellIs" dxfId="1163" priority="1578" stopIfTrue="1" operator="equal">
      <formula>"SINAPI"</formula>
    </cfRule>
  </conditionalFormatting>
  <conditionalFormatting sqref="B621 B616">
    <cfRule type="cellIs" dxfId="1162" priority="1572" stopIfTrue="1" operator="equal">
      <formula>"Cotação Balaroti"</formula>
    </cfRule>
  </conditionalFormatting>
  <conditionalFormatting sqref="A621 A616:A618">
    <cfRule type="cellIs" dxfId="1161" priority="1573" stopIfTrue="1" operator="equal">
      <formula>"SINAPI"</formula>
    </cfRule>
  </conditionalFormatting>
  <conditionalFormatting sqref="A627">
    <cfRule type="cellIs" dxfId="1160" priority="1543" stopIfTrue="1" operator="equal">
      <formula>"SINAPI"</formula>
    </cfRule>
  </conditionalFormatting>
  <conditionalFormatting sqref="B617">
    <cfRule type="cellIs" dxfId="1159" priority="1563" stopIfTrue="1" operator="equal">
      <formula>"Cotação Balaroti"</formula>
    </cfRule>
  </conditionalFormatting>
  <conditionalFormatting sqref="B612">
    <cfRule type="cellIs" dxfId="1158" priority="1558" stopIfTrue="1" operator="equal">
      <formula>"Cotação Balaroti"</formula>
    </cfRule>
  </conditionalFormatting>
  <conditionalFormatting sqref="A612:A613">
    <cfRule type="cellIs" dxfId="1157" priority="1571" stopIfTrue="1" operator="equal">
      <formula>"SINAPI"</formula>
    </cfRule>
  </conditionalFormatting>
  <conditionalFormatting sqref="B614">
    <cfRule type="cellIs" dxfId="1156" priority="1565" stopIfTrue="1" operator="equal">
      <formula>"Cotação Balaroti"</formula>
    </cfRule>
  </conditionalFormatting>
  <conditionalFormatting sqref="B628">
    <cfRule type="cellIs" dxfId="1155" priority="1540" stopIfTrue="1" operator="equal">
      <formula>"Cotação Balaroti"</formula>
    </cfRule>
  </conditionalFormatting>
  <conditionalFormatting sqref="B640:B642">
    <cfRule type="cellIs" dxfId="1154" priority="1534" stopIfTrue="1" operator="equal">
      <formula>"Cotação Balaroti"</formula>
    </cfRule>
  </conditionalFormatting>
  <conditionalFormatting sqref="B615">
    <cfRule type="cellIs" dxfId="1153" priority="1567" stopIfTrue="1" operator="equal">
      <formula>"Cotação Balaroti"</formula>
    </cfRule>
  </conditionalFormatting>
  <conditionalFormatting sqref="B618">
    <cfRule type="cellIs" dxfId="1152" priority="1564" stopIfTrue="1" operator="equal">
      <formula>"Cotação Balaroti"</formula>
    </cfRule>
  </conditionalFormatting>
  <conditionalFormatting sqref="B611">
    <cfRule type="cellIs" dxfId="1151" priority="1569" stopIfTrue="1" operator="equal">
      <formula>"Cotação Balaroti"</formula>
    </cfRule>
  </conditionalFormatting>
  <conditionalFormatting sqref="A611">
    <cfRule type="cellIs" dxfId="1150" priority="1570" stopIfTrue="1" operator="equal">
      <formula>"SINAPI"</formula>
    </cfRule>
  </conditionalFormatting>
  <conditionalFormatting sqref="A615">
    <cfRule type="cellIs" dxfId="1149" priority="1568" stopIfTrue="1" operator="equal">
      <formula>"SINAPI"</formula>
    </cfRule>
  </conditionalFormatting>
  <conditionalFormatting sqref="A614">
    <cfRule type="cellIs" dxfId="1148" priority="1566" stopIfTrue="1" operator="equal">
      <formula>"SINAPI"</formula>
    </cfRule>
  </conditionalFormatting>
  <conditionalFormatting sqref="B619">
    <cfRule type="cellIs" dxfId="1147" priority="1560" stopIfTrue="1" operator="equal">
      <formula>"Cotação Balaroti"</formula>
    </cfRule>
  </conditionalFormatting>
  <conditionalFormatting sqref="A619">
    <cfRule type="cellIs" dxfId="1146" priority="1561" stopIfTrue="1" operator="equal">
      <formula>"SINAPI"</formula>
    </cfRule>
  </conditionalFormatting>
  <conditionalFormatting sqref="A633">
    <cfRule type="cellIs" dxfId="1145" priority="1556" stopIfTrue="1" operator="equal">
      <formula>"SINAPI"</formula>
    </cfRule>
  </conditionalFormatting>
  <conditionalFormatting sqref="B633">
    <cfRule type="cellIs" dxfId="1144" priority="1555" stopIfTrue="1" operator="equal">
      <formula>"Cotação Balaroti"</formula>
    </cfRule>
  </conditionalFormatting>
  <conditionalFormatting sqref="B634">
    <cfRule type="cellIs" dxfId="1143" priority="1553" stopIfTrue="1" operator="equal">
      <formula>"Cotação Balaroti"</formula>
    </cfRule>
  </conditionalFormatting>
  <conditionalFormatting sqref="A634">
    <cfRule type="cellIs" dxfId="1142" priority="1554" stopIfTrue="1" operator="equal">
      <formula>"SINAPI"</formula>
    </cfRule>
  </conditionalFormatting>
  <conditionalFormatting sqref="B635">
    <cfRule type="cellIs" dxfId="1141" priority="1551" stopIfTrue="1" operator="equal">
      <formula>"Cotação Balaroti"</formula>
    </cfRule>
  </conditionalFormatting>
  <conditionalFormatting sqref="A635">
    <cfRule type="cellIs" dxfId="1140" priority="1552" stopIfTrue="1" operator="equal">
      <formula>"SINAPI"</formula>
    </cfRule>
  </conditionalFormatting>
  <conditionalFormatting sqref="B632">
    <cfRule type="cellIs" dxfId="1139" priority="1549" stopIfTrue="1" operator="equal">
      <formula>"Cotação Balaroti"</formula>
    </cfRule>
  </conditionalFormatting>
  <conditionalFormatting sqref="A632">
    <cfRule type="cellIs" dxfId="1138" priority="1550" stopIfTrue="1" operator="equal">
      <formula>"SINAPI"</formula>
    </cfRule>
  </conditionalFormatting>
  <conditionalFormatting sqref="A625:A626">
    <cfRule type="cellIs" dxfId="1137" priority="1548" stopIfTrue="1" operator="equal">
      <formula>"SINAPI"</formula>
    </cfRule>
  </conditionalFormatting>
  <conditionalFormatting sqref="B639">
    <cfRule type="cellIs" dxfId="1136" priority="1536" stopIfTrue="1" operator="equal">
      <formula>"Cotação Balaroti"</formula>
    </cfRule>
  </conditionalFormatting>
  <conditionalFormatting sqref="B624">
    <cfRule type="cellIs" dxfId="1135" priority="1546" stopIfTrue="1" operator="equal">
      <formula>"Cotação Balaroti"</formula>
    </cfRule>
  </conditionalFormatting>
  <conditionalFormatting sqref="A639">
    <cfRule type="cellIs" dxfId="1134" priority="1537" stopIfTrue="1" operator="equal">
      <formula>"SINAPI"</formula>
    </cfRule>
  </conditionalFormatting>
  <conditionalFormatting sqref="A624">
    <cfRule type="cellIs" dxfId="1133" priority="1547" stopIfTrue="1" operator="equal">
      <formula>"SINAPI"</formula>
    </cfRule>
  </conditionalFormatting>
  <conditionalFormatting sqref="B625">
    <cfRule type="cellIs" dxfId="1132" priority="1544" stopIfTrue="1" operator="equal">
      <formula>"Cotação Balaroti"</formula>
    </cfRule>
  </conditionalFormatting>
  <conditionalFormatting sqref="A629">
    <cfRule type="cellIs" dxfId="1131" priority="1539" stopIfTrue="1" operator="equal">
      <formula>"SINAPI"</formula>
    </cfRule>
  </conditionalFormatting>
  <conditionalFormatting sqref="B668">
    <cfRule type="cellIs" dxfId="1130" priority="1514" stopIfTrue="1" operator="equal">
      <formula>"Cotação Balaroti"</formula>
    </cfRule>
  </conditionalFormatting>
  <conditionalFormatting sqref="A647">
    <cfRule type="cellIs" dxfId="1129" priority="1529" stopIfTrue="1" operator="equal">
      <formula>"SINAPI"</formula>
    </cfRule>
  </conditionalFormatting>
  <conditionalFormatting sqref="B647">
    <cfRule type="cellIs" dxfId="1128" priority="1524" stopIfTrue="1" operator="equal">
      <formula>"Cotação Balaroti"</formula>
    </cfRule>
  </conditionalFormatting>
  <conditionalFormatting sqref="B626">
    <cfRule type="cellIs" dxfId="1127" priority="1545" stopIfTrue="1" operator="equal">
      <formula>"Cotação Balaroti"</formula>
    </cfRule>
  </conditionalFormatting>
  <conditionalFormatting sqref="A660">
    <cfRule type="cellIs" dxfId="1126" priority="1513" stopIfTrue="1" operator="equal">
      <formula>"SINAPI"</formula>
    </cfRule>
  </conditionalFormatting>
  <conditionalFormatting sqref="B660">
    <cfRule type="cellIs" dxfId="1125" priority="1512" stopIfTrue="1" operator="equal">
      <formula>"Cotação Balaroti"</formula>
    </cfRule>
  </conditionalFormatting>
  <conditionalFormatting sqref="A640:A642">
    <cfRule type="cellIs" dxfId="1124" priority="1535" stopIfTrue="1" operator="equal">
      <formula>"SINAPI"</formula>
    </cfRule>
  </conditionalFormatting>
  <conditionalFormatting sqref="B661:B663">
    <cfRule type="cellIs" dxfId="1123" priority="1510" stopIfTrue="1" operator="equal">
      <formula>"Cotação Balaroti"</formula>
    </cfRule>
  </conditionalFormatting>
  <conditionalFormatting sqref="A646">
    <cfRule type="cellIs" dxfId="1122" priority="1533" stopIfTrue="1" operator="equal">
      <formula>"SINAPI"</formula>
    </cfRule>
  </conditionalFormatting>
  <conditionalFormatting sqref="A675">
    <cfRule type="cellIs" dxfId="1121" priority="1507" stopIfTrue="1" operator="equal">
      <formula>"SINAPI"</formula>
    </cfRule>
  </conditionalFormatting>
  <conditionalFormatting sqref="B645">
    <cfRule type="cellIs" dxfId="1120" priority="1531" stopIfTrue="1" operator="equal">
      <formula>"Cotação Balaroti"</formula>
    </cfRule>
  </conditionalFormatting>
  <conditionalFormatting sqref="B649">
    <cfRule type="cellIs" dxfId="1119" priority="1525" stopIfTrue="1" operator="equal">
      <formula>"Cotação Balaroti"</formula>
    </cfRule>
  </conditionalFormatting>
  <conditionalFormatting sqref="B648">
    <cfRule type="cellIs" dxfId="1118" priority="1527" stopIfTrue="1" operator="equal">
      <formula>"Cotação Balaroti"</formula>
    </cfRule>
  </conditionalFormatting>
  <conditionalFormatting sqref="A648">
    <cfRule type="cellIs" dxfId="1117" priority="1528" stopIfTrue="1" operator="equal">
      <formula>"SINAPI"</formula>
    </cfRule>
  </conditionalFormatting>
  <conditionalFormatting sqref="A649">
    <cfRule type="cellIs" dxfId="1116" priority="1526" stopIfTrue="1" operator="equal">
      <formula>"SINAPI"</formula>
    </cfRule>
  </conditionalFormatting>
  <conditionalFormatting sqref="A645">
    <cfRule type="cellIs" dxfId="1115" priority="1532" stopIfTrue="1" operator="equal">
      <formula>"SINAPI"</formula>
    </cfRule>
  </conditionalFormatting>
  <conditionalFormatting sqref="B646">
    <cfRule type="cellIs" dxfId="1114" priority="1530" stopIfTrue="1" operator="equal">
      <formula>"Cotação Balaroti"</formula>
    </cfRule>
  </conditionalFormatting>
  <conditionalFormatting sqref="B687:B693">
    <cfRule type="cellIs" dxfId="1113" priority="1502" stopIfTrue="1" operator="equal">
      <formula>"Cotação Balaroti"</formula>
    </cfRule>
  </conditionalFormatting>
  <conditionalFormatting sqref="A667">
    <cfRule type="cellIs" dxfId="1112" priority="1523" stopIfTrue="1" operator="equal">
      <formula>"SINAPI"</formula>
    </cfRule>
  </conditionalFormatting>
  <conditionalFormatting sqref="A668">
    <cfRule type="cellIs" dxfId="1111" priority="1519" stopIfTrue="1" operator="equal">
      <formula>"SINAPI"</formula>
    </cfRule>
  </conditionalFormatting>
  <conditionalFormatting sqref="B666">
    <cfRule type="cellIs" dxfId="1110" priority="1521" stopIfTrue="1" operator="equal">
      <formula>"Cotação Balaroti"</formula>
    </cfRule>
  </conditionalFormatting>
  <conditionalFormatting sqref="B670">
    <cfRule type="cellIs" dxfId="1109" priority="1515" stopIfTrue="1" operator="equal">
      <formula>"Cotação Balaroti"</formula>
    </cfRule>
  </conditionalFormatting>
  <conditionalFormatting sqref="B669">
    <cfRule type="cellIs" dxfId="1108" priority="1517" stopIfTrue="1" operator="equal">
      <formula>"Cotação Balaroti"</formula>
    </cfRule>
  </conditionalFormatting>
  <conditionalFormatting sqref="A669">
    <cfRule type="cellIs" dxfId="1107" priority="1518" stopIfTrue="1" operator="equal">
      <formula>"SINAPI"</formula>
    </cfRule>
  </conditionalFormatting>
  <conditionalFormatting sqref="A670">
    <cfRule type="cellIs" dxfId="1106" priority="1516" stopIfTrue="1" operator="equal">
      <formula>"SINAPI"</formula>
    </cfRule>
  </conditionalFormatting>
  <conditionalFormatting sqref="A666">
    <cfRule type="cellIs" dxfId="1105" priority="1522" stopIfTrue="1" operator="equal">
      <formula>"SINAPI"</formula>
    </cfRule>
  </conditionalFormatting>
  <conditionalFormatting sqref="B667">
    <cfRule type="cellIs" dxfId="1104" priority="1520" stopIfTrue="1" operator="equal">
      <formula>"Cotação Balaroti"</formula>
    </cfRule>
  </conditionalFormatting>
  <conditionalFormatting sqref="B675">
    <cfRule type="cellIs" dxfId="1103" priority="1506" stopIfTrue="1" operator="equal">
      <formula>"Cotação Balaroti"</formula>
    </cfRule>
  </conditionalFormatting>
  <conditionalFormatting sqref="A676">
    <cfRule type="cellIs" dxfId="1102" priority="1505" stopIfTrue="1" operator="equal">
      <formula>"SINAPI"</formula>
    </cfRule>
  </conditionalFormatting>
  <conditionalFormatting sqref="B676">
    <cfRule type="cellIs" dxfId="1101" priority="1504" stopIfTrue="1" operator="equal">
      <formula>"Cotação Balaroti"</formula>
    </cfRule>
  </conditionalFormatting>
  <conditionalFormatting sqref="A661:A663">
    <cfRule type="cellIs" dxfId="1100" priority="1511" stopIfTrue="1" operator="equal">
      <formula>"SINAPI"</formula>
    </cfRule>
  </conditionalFormatting>
  <conditionalFormatting sqref="B720:B721">
    <cfRule type="cellIs" dxfId="1099" priority="1486" stopIfTrue="1" operator="equal">
      <formula>"Cotação Balaroti"</formula>
    </cfRule>
  </conditionalFormatting>
  <conditionalFormatting sqref="B679:B680">
    <cfRule type="cellIs" dxfId="1098" priority="1508" stopIfTrue="1" operator="equal">
      <formula>"Cotação Balaroti"</formula>
    </cfRule>
  </conditionalFormatting>
  <conditionalFormatting sqref="A679:A680">
    <cfRule type="cellIs" dxfId="1097" priority="1509" stopIfTrue="1" operator="equal">
      <formula>"SINAPI"</formula>
    </cfRule>
  </conditionalFormatting>
  <conditionalFormatting sqref="A705:A706">
    <cfRule type="cellIs" dxfId="1096" priority="1491" stopIfTrue="1" operator="equal">
      <formula>"SINAPI"</formula>
    </cfRule>
  </conditionalFormatting>
  <conditionalFormatting sqref="B705:B706">
    <cfRule type="cellIs" dxfId="1095" priority="1490" stopIfTrue="1" operator="equal">
      <formula>"Cotação Balaroti"</formula>
    </cfRule>
  </conditionalFormatting>
  <conditionalFormatting sqref="A713:A714">
    <cfRule type="cellIs" dxfId="1094" priority="1489" stopIfTrue="1" operator="equal">
      <formula>"SINAPI"</formula>
    </cfRule>
  </conditionalFormatting>
  <conditionalFormatting sqref="B713:B714">
    <cfRule type="cellIs" dxfId="1093" priority="1488" stopIfTrue="1" operator="equal">
      <formula>"Cotação Balaroti"</formula>
    </cfRule>
  </conditionalFormatting>
  <conditionalFormatting sqref="B732:B733">
    <cfRule type="cellIs" dxfId="1092" priority="1482" stopIfTrue="1" operator="equal">
      <formula>"Cotação Balaroti"</formula>
    </cfRule>
  </conditionalFormatting>
  <conditionalFormatting sqref="A687:A693">
    <cfRule type="cellIs" dxfId="1091" priority="1503" stopIfTrue="1" operator="equal">
      <formula>"SINAPI"</formula>
    </cfRule>
  </conditionalFormatting>
  <conditionalFormatting sqref="B699:B702">
    <cfRule type="cellIs" dxfId="1090" priority="1500" stopIfTrue="1" operator="equal">
      <formula>"Cotação Balaroti"</formula>
    </cfRule>
  </conditionalFormatting>
  <conditionalFormatting sqref="A699:A702">
    <cfRule type="cellIs" dxfId="1089" priority="1501" stopIfTrue="1" operator="equal">
      <formula>"SINAPI"</formula>
    </cfRule>
  </conditionalFormatting>
  <conditionalFormatting sqref="B707:B710">
    <cfRule type="cellIs" dxfId="1088" priority="1498" stopIfTrue="1" operator="equal">
      <formula>"Cotação Balaroti"</formula>
    </cfRule>
  </conditionalFormatting>
  <conditionalFormatting sqref="A707:A710">
    <cfRule type="cellIs" dxfId="1087" priority="1499" stopIfTrue="1" operator="equal">
      <formula>"SINAPI"</formula>
    </cfRule>
  </conditionalFormatting>
  <conditionalFormatting sqref="B715:B718">
    <cfRule type="cellIs" dxfId="1086" priority="1496" stopIfTrue="1" operator="equal">
      <formula>"Cotação Balaroti"</formula>
    </cfRule>
  </conditionalFormatting>
  <conditionalFormatting sqref="A715:A718">
    <cfRule type="cellIs" dxfId="1085" priority="1497" stopIfTrue="1" operator="equal">
      <formula>"SINAPI"</formula>
    </cfRule>
  </conditionalFormatting>
  <conditionalFormatting sqref="B722:B725">
    <cfRule type="cellIs" dxfId="1084" priority="1494" stopIfTrue="1" operator="equal">
      <formula>"Cotação Balaroti"</formula>
    </cfRule>
  </conditionalFormatting>
  <conditionalFormatting sqref="A722:A725">
    <cfRule type="cellIs" dxfId="1083" priority="1495" stopIfTrue="1" operator="equal">
      <formula>"SINAPI"</formula>
    </cfRule>
  </conditionalFormatting>
  <conditionalFormatting sqref="B697:B698">
    <cfRule type="cellIs" dxfId="1082" priority="1492" stopIfTrue="1" operator="equal">
      <formula>"Cotação Balaroti"</formula>
    </cfRule>
  </conditionalFormatting>
  <conditionalFormatting sqref="A697:A698">
    <cfRule type="cellIs" dxfId="1081" priority="1493" stopIfTrue="1" operator="equal">
      <formula>"SINAPI"</formula>
    </cfRule>
  </conditionalFormatting>
  <conditionalFormatting sqref="B818">
    <cfRule type="cellIs" dxfId="1080" priority="1422" stopIfTrue="1" operator="equal">
      <formula>"Cotação Balaroti"</formula>
    </cfRule>
  </conditionalFormatting>
  <conditionalFormatting sqref="A720:A721">
    <cfRule type="cellIs" dxfId="1079" priority="1487" stopIfTrue="1" operator="equal">
      <formula>"SINAPI"</formula>
    </cfRule>
  </conditionalFormatting>
  <conditionalFormatting sqref="B730:B731">
    <cfRule type="cellIs" dxfId="1078" priority="1484" stopIfTrue="1" operator="equal">
      <formula>"Cotação Balaroti"</formula>
    </cfRule>
  </conditionalFormatting>
  <conditionalFormatting sqref="A730:A731">
    <cfRule type="cellIs" dxfId="1077" priority="1485" stopIfTrue="1" operator="equal">
      <formula>"SINAPI"</formula>
    </cfRule>
  </conditionalFormatting>
  <conditionalFormatting sqref="B738:B739">
    <cfRule type="cellIs" dxfId="1076" priority="1478" stopIfTrue="1" operator="equal">
      <formula>"Cotação Balaroti"</formula>
    </cfRule>
  </conditionalFormatting>
  <conditionalFormatting sqref="A732:A733">
    <cfRule type="cellIs" dxfId="1075" priority="1483" stopIfTrue="1" operator="equal">
      <formula>"SINAPI"</formula>
    </cfRule>
  </conditionalFormatting>
  <conditionalFormatting sqref="B736:B737">
    <cfRule type="cellIs" dxfId="1074" priority="1480" stopIfTrue="1" operator="equal">
      <formula>"Cotação Balaroti"</formula>
    </cfRule>
  </conditionalFormatting>
  <conditionalFormatting sqref="A736:A737">
    <cfRule type="cellIs" dxfId="1073" priority="1481" stopIfTrue="1" operator="equal">
      <formula>"SINAPI"</formula>
    </cfRule>
  </conditionalFormatting>
  <conditionalFormatting sqref="B822">
    <cfRule type="cellIs" dxfId="1072" priority="1418" stopIfTrue="1" operator="equal">
      <formula>"Cotação Balaroti"</formula>
    </cfRule>
  </conditionalFormatting>
  <conditionalFormatting sqref="A818">
    <cfRule type="cellIs" dxfId="1071" priority="1423" stopIfTrue="1" operator="equal">
      <formula>"SINAPI"</formula>
    </cfRule>
  </conditionalFormatting>
  <conditionalFormatting sqref="B819">
    <cfRule type="cellIs" dxfId="1070" priority="1420" stopIfTrue="1" operator="equal">
      <formula>"Cotação Balaroti"</formula>
    </cfRule>
  </conditionalFormatting>
  <conditionalFormatting sqref="A819">
    <cfRule type="cellIs" dxfId="1069" priority="1421" stopIfTrue="1" operator="equal">
      <formula>"SINAPI"</formula>
    </cfRule>
  </conditionalFormatting>
  <conditionalFormatting sqref="A738:A739">
    <cfRule type="cellIs" dxfId="1068" priority="1479" stopIfTrue="1" operator="equal">
      <formula>"SINAPI"</formula>
    </cfRule>
  </conditionalFormatting>
  <conditionalFormatting sqref="B745">
    <cfRule type="cellIs" dxfId="1067" priority="1476" stopIfTrue="1" operator="equal">
      <formula>"Cotação Balaroti"</formula>
    </cfRule>
  </conditionalFormatting>
  <conditionalFormatting sqref="A745">
    <cfRule type="cellIs" dxfId="1066" priority="1477" stopIfTrue="1" operator="equal">
      <formula>"SINAPI"</formula>
    </cfRule>
  </conditionalFormatting>
  <conditionalFormatting sqref="B746">
    <cfRule type="cellIs" dxfId="1065" priority="1474" stopIfTrue="1" operator="equal">
      <formula>"Cotação Balaroti"</formula>
    </cfRule>
  </conditionalFormatting>
  <conditionalFormatting sqref="A746">
    <cfRule type="cellIs" dxfId="1064" priority="1475" stopIfTrue="1" operator="equal">
      <formula>"SINAPI"</formula>
    </cfRule>
  </conditionalFormatting>
  <conditionalFormatting sqref="B747">
    <cfRule type="cellIs" dxfId="1063" priority="1472" stopIfTrue="1" operator="equal">
      <formula>"Cotação Balaroti"</formula>
    </cfRule>
  </conditionalFormatting>
  <conditionalFormatting sqref="A747">
    <cfRule type="cellIs" dxfId="1062" priority="1473" stopIfTrue="1" operator="equal">
      <formula>"SINAPI"</formula>
    </cfRule>
  </conditionalFormatting>
  <conditionalFormatting sqref="A822">
    <cfRule type="cellIs" dxfId="1061" priority="1419" stopIfTrue="1" operator="equal">
      <formula>"SINAPI"</formula>
    </cfRule>
  </conditionalFormatting>
  <conditionalFormatting sqref="B754:B762">
    <cfRule type="cellIs" dxfId="1060" priority="1464" stopIfTrue="1" operator="equal">
      <formula>"Cotação Balaroti"</formula>
    </cfRule>
  </conditionalFormatting>
  <conditionalFormatting sqref="A754:A762">
    <cfRule type="cellIs" dxfId="1059" priority="1465" stopIfTrue="1" operator="equal">
      <formula>"SINAPI"</formula>
    </cfRule>
  </conditionalFormatting>
  <conditionalFormatting sqref="B752">
    <cfRule type="cellIs" dxfId="1058" priority="1462" stopIfTrue="1" operator="equal">
      <formula>"Cotação Balaroti"</formula>
    </cfRule>
  </conditionalFormatting>
  <conditionalFormatting sqref="A752">
    <cfRule type="cellIs" dxfId="1057" priority="1463" stopIfTrue="1" operator="equal">
      <formula>"SINAPI"</formula>
    </cfRule>
  </conditionalFormatting>
  <conditionalFormatting sqref="B753">
    <cfRule type="cellIs" dxfId="1056" priority="1460" stopIfTrue="1" operator="equal">
      <formula>"Cotação Balaroti"</formula>
    </cfRule>
  </conditionalFormatting>
  <conditionalFormatting sqref="A753">
    <cfRule type="cellIs" dxfId="1055" priority="1461" stopIfTrue="1" operator="equal">
      <formula>"SINAPI"</formula>
    </cfRule>
  </conditionalFormatting>
  <conditionalFormatting sqref="B765">
    <cfRule type="cellIs" dxfId="1054" priority="1458" stopIfTrue="1" operator="equal">
      <formula>"Cotação Balaroti"</formula>
    </cfRule>
  </conditionalFormatting>
  <conditionalFormatting sqref="A765">
    <cfRule type="cellIs" dxfId="1053" priority="1459" stopIfTrue="1" operator="equal">
      <formula>"SINAPI"</formula>
    </cfRule>
  </conditionalFormatting>
  <conditionalFormatting sqref="B766">
    <cfRule type="cellIs" dxfId="1052" priority="1456" stopIfTrue="1" operator="equal">
      <formula>"Cotação Balaroti"</formula>
    </cfRule>
  </conditionalFormatting>
  <conditionalFormatting sqref="A766">
    <cfRule type="cellIs" dxfId="1051" priority="1457" stopIfTrue="1" operator="equal">
      <formula>"SINAPI"</formula>
    </cfRule>
  </conditionalFormatting>
  <conditionalFormatting sqref="B767 B769">
    <cfRule type="cellIs" dxfId="1050" priority="1454" stopIfTrue="1" operator="equal">
      <formula>"Cotação Balaroti"</formula>
    </cfRule>
  </conditionalFormatting>
  <conditionalFormatting sqref="A767 A769">
    <cfRule type="cellIs" dxfId="1049" priority="1455" stopIfTrue="1" operator="equal">
      <formula>"SINAPI"</formula>
    </cfRule>
  </conditionalFormatting>
  <conditionalFormatting sqref="B773">
    <cfRule type="cellIs" dxfId="1048" priority="1452" stopIfTrue="1" operator="equal">
      <formula>"Cotação Balaroti"</formula>
    </cfRule>
  </conditionalFormatting>
  <conditionalFormatting sqref="A773">
    <cfRule type="cellIs" dxfId="1047" priority="1453" stopIfTrue="1" operator="equal">
      <formula>"SINAPI"</formula>
    </cfRule>
  </conditionalFormatting>
  <conditionalFormatting sqref="B774">
    <cfRule type="cellIs" dxfId="1046" priority="1450" stopIfTrue="1" operator="equal">
      <formula>"Cotação Balaroti"</formula>
    </cfRule>
  </conditionalFormatting>
  <conditionalFormatting sqref="A774">
    <cfRule type="cellIs" dxfId="1045" priority="1451" stopIfTrue="1" operator="equal">
      <formula>"SINAPI"</formula>
    </cfRule>
  </conditionalFormatting>
  <conditionalFormatting sqref="B775:B781">
    <cfRule type="cellIs" dxfId="1044" priority="1448" stopIfTrue="1" operator="equal">
      <formula>"Cotação Balaroti"</formula>
    </cfRule>
  </conditionalFormatting>
  <conditionalFormatting sqref="A775:A781">
    <cfRule type="cellIs" dxfId="1043" priority="1449" stopIfTrue="1" operator="equal">
      <formula>"SINAPI"</formula>
    </cfRule>
  </conditionalFormatting>
  <conditionalFormatting sqref="A785">
    <cfRule type="cellIs" dxfId="1042" priority="1447" stopIfTrue="1" operator="equal">
      <formula>"SINAPI"</formula>
    </cfRule>
  </conditionalFormatting>
  <conditionalFormatting sqref="B785">
    <cfRule type="cellIs" dxfId="1041" priority="1445" stopIfTrue="1" operator="equal">
      <formula>"Cotação Balaroti"</formula>
    </cfRule>
  </conditionalFormatting>
  <conditionalFormatting sqref="A784">
    <cfRule type="cellIs" dxfId="1040" priority="1446" stopIfTrue="1" operator="equal">
      <formula>"SINAPI"</formula>
    </cfRule>
  </conditionalFormatting>
  <conditionalFormatting sqref="B784">
    <cfRule type="cellIs" dxfId="1039" priority="1444" stopIfTrue="1" operator="equal">
      <formula>"Cotação Balaroti"</formula>
    </cfRule>
  </conditionalFormatting>
  <conditionalFormatting sqref="B786:B788">
    <cfRule type="cellIs" dxfId="1038" priority="1442" stopIfTrue="1" operator="equal">
      <formula>"Cotação Balaroti"</formula>
    </cfRule>
  </conditionalFormatting>
  <conditionalFormatting sqref="A786:A788">
    <cfRule type="cellIs" dxfId="1037" priority="1443" stopIfTrue="1" operator="equal">
      <formula>"SINAPI"</formula>
    </cfRule>
  </conditionalFormatting>
  <conditionalFormatting sqref="A792">
    <cfRule type="cellIs" dxfId="1036" priority="1441" stopIfTrue="1" operator="equal">
      <formula>"SINAPI"</formula>
    </cfRule>
  </conditionalFormatting>
  <conditionalFormatting sqref="B792">
    <cfRule type="cellIs" dxfId="1035" priority="1439" stopIfTrue="1" operator="equal">
      <formula>"Cotação Balaroti"</formula>
    </cfRule>
  </conditionalFormatting>
  <conditionalFormatting sqref="A791">
    <cfRule type="cellIs" dxfId="1034" priority="1440" stopIfTrue="1" operator="equal">
      <formula>"SINAPI"</formula>
    </cfRule>
  </conditionalFormatting>
  <conditionalFormatting sqref="B791">
    <cfRule type="cellIs" dxfId="1033" priority="1438" stopIfTrue="1" operator="equal">
      <formula>"Cotação Balaroti"</formula>
    </cfRule>
  </conditionalFormatting>
  <conditionalFormatting sqref="A793">
    <cfRule type="cellIs" dxfId="1032" priority="1437" stopIfTrue="1" operator="equal">
      <formula>"SINAPI"</formula>
    </cfRule>
  </conditionalFormatting>
  <conditionalFormatting sqref="B793">
    <cfRule type="cellIs" dxfId="1031" priority="1436" stopIfTrue="1" operator="equal">
      <formula>"Cotação Balaroti"</formula>
    </cfRule>
  </conditionalFormatting>
  <conditionalFormatting sqref="A806">
    <cfRule type="cellIs" dxfId="1030" priority="1435" stopIfTrue="1" operator="equal">
      <formula>"SINAPI"</formula>
    </cfRule>
  </conditionalFormatting>
  <conditionalFormatting sqref="B806">
    <cfRule type="cellIs" dxfId="1029" priority="1434" stopIfTrue="1" operator="equal">
      <formula>"Cotação Balaroti"</formula>
    </cfRule>
  </conditionalFormatting>
  <conditionalFormatting sqref="A807">
    <cfRule type="cellIs" dxfId="1028" priority="1433" stopIfTrue="1" operator="equal">
      <formula>"SINAPI"</formula>
    </cfRule>
  </conditionalFormatting>
  <conditionalFormatting sqref="B807">
    <cfRule type="cellIs" dxfId="1027" priority="1432" stopIfTrue="1" operator="equal">
      <formula>"Cotação Balaroti"</formula>
    </cfRule>
  </conditionalFormatting>
  <conditionalFormatting sqref="A810">
    <cfRule type="cellIs" dxfId="1026" priority="1431" stopIfTrue="1" operator="equal">
      <formula>"SINAPI"</formula>
    </cfRule>
  </conditionalFormatting>
  <conditionalFormatting sqref="B810">
    <cfRule type="cellIs" dxfId="1025" priority="1430" stopIfTrue="1" operator="equal">
      <formula>"Cotação Balaroti"</formula>
    </cfRule>
  </conditionalFormatting>
  <conditionalFormatting sqref="A811">
    <cfRule type="cellIs" dxfId="1024" priority="1429" stopIfTrue="1" operator="equal">
      <formula>"SINAPI"</formula>
    </cfRule>
  </conditionalFormatting>
  <conditionalFormatting sqref="B811">
    <cfRule type="cellIs" dxfId="1023" priority="1428" stopIfTrue="1" operator="equal">
      <formula>"Cotação Balaroti"</formula>
    </cfRule>
  </conditionalFormatting>
  <conditionalFormatting sqref="A814">
    <cfRule type="cellIs" dxfId="1022" priority="1427" stopIfTrue="1" operator="equal">
      <formula>"SINAPI"</formula>
    </cfRule>
  </conditionalFormatting>
  <conditionalFormatting sqref="B814">
    <cfRule type="cellIs" dxfId="1021" priority="1426" stopIfTrue="1" operator="equal">
      <formula>"Cotação Balaroti"</formula>
    </cfRule>
  </conditionalFormatting>
  <conditionalFormatting sqref="A815">
    <cfRule type="cellIs" dxfId="1020" priority="1425" stopIfTrue="1" operator="equal">
      <formula>"SINAPI"</formula>
    </cfRule>
  </conditionalFormatting>
  <conditionalFormatting sqref="B815">
    <cfRule type="cellIs" dxfId="1019" priority="1424" stopIfTrue="1" operator="equal">
      <formula>"Cotação Balaroti"</formula>
    </cfRule>
  </conditionalFormatting>
  <conditionalFormatting sqref="B825">
    <cfRule type="cellIs" dxfId="1018" priority="1416" stopIfTrue="1" operator="equal">
      <formula>"Cotação Balaroti"</formula>
    </cfRule>
  </conditionalFormatting>
  <conditionalFormatting sqref="A825">
    <cfRule type="cellIs" dxfId="1017" priority="1417" stopIfTrue="1" operator="equal">
      <formula>"SINAPI"</formula>
    </cfRule>
  </conditionalFormatting>
  <conditionalFormatting sqref="B826">
    <cfRule type="cellIs" dxfId="1016" priority="1414" stopIfTrue="1" operator="equal">
      <formula>"Cotação Balaroti"</formula>
    </cfRule>
  </conditionalFormatting>
  <conditionalFormatting sqref="A826">
    <cfRule type="cellIs" dxfId="1015" priority="1415" stopIfTrue="1" operator="equal">
      <formula>"SINAPI"</formula>
    </cfRule>
  </conditionalFormatting>
  <conditionalFormatting sqref="B827">
    <cfRule type="cellIs" dxfId="1014" priority="1412" stopIfTrue="1" operator="equal">
      <formula>"Cotação Balaroti"</formula>
    </cfRule>
  </conditionalFormatting>
  <conditionalFormatting sqref="A827">
    <cfRule type="cellIs" dxfId="1013" priority="1413" stopIfTrue="1" operator="equal">
      <formula>"SINAPI"</formula>
    </cfRule>
  </conditionalFormatting>
  <conditionalFormatting sqref="A831">
    <cfRule type="cellIs" dxfId="1012" priority="1411" stopIfTrue="1" operator="equal">
      <formula>"SINAPI"</formula>
    </cfRule>
  </conditionalFormatting>
  <conditionalFormatting sqref="B831">
    <cfRule type="cellIs" dxfId="1011" priority="1409" stopIfTrue="1" operator="equal">
      <formula>"Cotação Balaroti"</formula>
    </cfRule>
  </conditionalFormatting>
  <conditionalFormatting sqref="A830">
    <cfRule type="cellIs" dxfId="1010" priority="1410" stopIfTrue="1" operator="equal">
      <formula>"SINAPI"</formula>
    </cfRule>
  </conditionalFormatting>
  <conditionalFormatting sqref="B830">
    <cfRule type="cellIs" dxfId="1009" priority="1408" stopIfTrue="1" operator="equal">
      <formula>"Cotação Balaroti"</formula>
    </cfRule>
  </conditionalFormatting>
  <conditionalFormatting sqref="A832">
    <cfRule type="cellIs" dxfId="1008" priority="1407" stopIfTrue="1" operator="equal">
      <formula>"SINAPI"</formula>
    </cfRule>
  </conditionalFormatting>
  <conditionalFormatting sqref="B832">
    <cfRule type="cellIs" dxfId="1007" priority="1406" stopIfTrue="1" operator="equal">
      <formula>"Cotação Balaroti"</formula>
    </cfRule>
  </conditionalFormatting>
  <conditionalFormatting sqref="A836">
    <cfRule type="cellIs" dxfId="1006" priority="1405" stopIfTrue="1" operator="equal">
      <formula>"SINAPI"</formula>
    </cfRule>
  </conditionalFormatting>
  <conditionalFormatting sqref="B836">
    <cfRule type="cellIs" dxfId="1005" priority="1403" stopIfTrue="1" operator="equal">
      <formula>"Cotação Balaroti"</formula>
    </cfRule>
  </conditionalFormatting>
  <conditionalFormatting sqref="A835">
    <cfRule type="cellIs" dxfId="1004" priority="1404" stopIfTrue="1" operator="equal">
      <formula>"SINAPI"</formula>
    </cfRule>
  </conditionalFormatting>
  <conditionalFormatting sqref="B835">
    <cfRule type="cellIs" dxfId="1003" priority="1402" stopIfTrue="1" operator="equal">
      <formula>"Cotação Balaroti"</formula>
    </cfRule>
  </conditionalFormatting>
  <conditionalFormatting sqref="A837">
    <cfRule type="cellIs" dxfId="1002" priority="1401" stopIfTrue="1" operator="equal">
      <formula>"SINAPI"</formula>
    </cfRule>
  </conditionalFormatting>
  <conditionalFormatting sqref="B837">
    <cfRule type="cellIs" dxfId="1001" priority="1400" stopIfTrue="1" operator="equal">
      <formula>"Cotação Balaroti"</formula>
    </cfRule>
  </conditionalFormatting>
  <conditionalFormatting sqref="B840">
    <cfRule type="cellIs" dxfId="1000" priority="1398" stopIfTrue="1" operator="equal">
      <formula>"Cotação Balaroti"</formula>
    </cfRule>
  </conditionalFormatting>
  <conditionalFormatting sqref="A840">
    <cfRule type="cellIs" dxfId="999" priority="1399" stopIfTrue="1" operator="equal">
      <formula>"SINAPI"</formula>
    </cfRule>
  </conditionalFormatting>
  <conditionalFormatting sqref="B841">
    <cfRule type="cellIs" dxfId="998" priority="1396" stopIfTrue="1" operator="equal">
      <formula>"Cotação Balaroti"</formula>
    </cfRule>
  </conditionalFormatting>
  <conditionalFormatting sqref="A841">
    <cfRule type="cellIs" dxfId="997" priority="1397" stopIfTrue="1" operator="equal">
      <formula>"SINAPI"</formula>
    </cfRule>
  </conditionalFormatting>
  <conditionalFormatting sqref="B842:B844">
    <cfRule type="cellIs" dxfId="996" priority="1394" stopIfTrue="1" operator="equal">
      <formula>"Cotação Balaroti"</formula>
    </cfRule>
  </conditionalFormatting>
  <conditionalFormatting sqref="A842:A844">
    <cfRule type="cellIs" dxfId="995" priority="1395" stopIfTrue="1" operator="equal">
      <formula>"SINAPI"</formula>
    </cfRule>
  </conditionalFormatting>
  <conditionalFormatting sqref="B849">
    <cfRule type="cellIs" dxfId="994" priority="1392" stopIfTrue="1" operator="equal">
      <formula>"Cotação Balaroti"</formula>
    </cfRule>
  </conditionalFormatting>
  <conditionalFormatting sqref="A849">
    <cfRule type="cellIs" dxfId="993" priority="1393" stopIfTrue="1" operator="equal">
      <formula>"SINAPI"</formula>
    </cfRule>
  </conditionalFormatting>
  <conditionalFormatting sqref="B848">
    <cfRule type="cellIs" dxfId="992" priority="1388" stopIfTrue="1" operator="equal">
      <formula>"Cotação Balaroti"</formula>
    </cfRule>
  </conditionalFormatting>
  <conditionalFormatting sqref="B847">
    <cfRule type="cellIs" dxfId="991" priority="1390" stopIfTrue="1" operator="equal">
      <formula>"Cotação Balaroti"</formula>
    </cfRule>
  </conditionalFormatting>
  <conditionalFormatting sqref="A847">
    <cfRule type="cellIs" dxfId="990" priority="1391" stopIfTrue="1" operator="equal">
      <formula>"SINAPI"</formula>
    </cfRule>
  </conditionalFormatting>
  <conditionalFormatting sqref="A848">
    <cfRule type="cellIs" dxfId="989" priority="1389" stopIfTrue="1" operator="equal">
      <formula>"SINAPI"</formula>
    </cfRule>
  </conditionalFormatting>
  <conditionalFormatting sqref="B933">
    <cfRule type="cellIs" dxfId="988" priority="1306" stopIfTrue="1" operator="equal">
      <formula>"Cotação Balaroti"</formula>
    </cfRule>
  </conditionalFormatting>
  <conditionalFormatting sqref="A855">
    <cfRule type="cellIs" dxfId="987" priority="1387" stopIfTrue="1" operator="equal">
      <formula>"SINAPI"</formula>
    </cfRule>
  </conditionalFormatting>
  <conditionalFormatting sqref="B922">
    <cfRule type="cellIs" dxfId="986" priority="1322" stopIfTrue="1" operator="equal">
      <formula>"Cotação Balaroti"</formula>
    </cfRule>
  </conditionalFormatting>
  <conditionalFormatting sqref="A856">
    <cfRule type="cellIs" dxfId="985" priority="1385" stopIfTrue="1" operator="equal">
      <formula>"SINAPI"</formula>
    </cfRule>
  </conditionalFormatting>
  <conditionalFormatting sqref="B859">
    <cfRule type="cellIs" dxfId="984" priority="1382" stopIfTrue="1" operator="equal">
      <formula>"Cotação Balaroti"</formula>
    </cfRule>
  </conditionalFormatting>
  <conditionalFormatting sqref="A859">
    <cfRule type="cellIs" dxfId="983" priority="1383" stopIfTrue="1" operator="equal">
      <formula>"SINAPI"</formula>
    </cfRule>
  </conditionalFormatting>
  <conditionalFormatting sqref="B954">
    <cfRule type="cellIs" dxfId="982" priority="1292" stopIfTrue="1" operator="equal">
      <formula>"Cotação Balaroti"</formula>
    </cfRule>
  </conditionalFormatting>
  <conditionalFormatting sqref="A857">
    <cfRule type="cellIs" dxfId="981" priority="1381" stopIfTrue="1" operator="equal">
      <formula>"SINAPI"</formula>
    </cfRule>
  </conditionalFormatting>
  <conditionalFormatting sqref="B925">
    <cfRule type="cellIs" dxfId="980" priority="1316" stopIfTrue="1" operator="equal">
      <formula>"Cotação Balaroti"</formula>
    </cfRule>
  </conditionalFormatting>
  <conditionalFormatting sqref="A858">
    <cfRule type="cellIs" dxfId="979" priority="1379" stopIfTrue="1" operator="equal">
      <formula>"SINAPI"</formula>
    </cfRule>
  </conditionalFormatting>
  <conditionalFormatting sqref="B855:B858">
    <cfRule type="cellIs" dxfId="978" priority="1377" stopIfTrue="1" operator="equal">
      <formula>"Cotação Balaroti"</formula>
    </cfRule>
  </conditionalFormatting>
  <conditionalFormatting sqref="B941">
    <cfRule type="cellIs" dxfId="977" priority="1298" stopIfTrue="1" operator="equal">
      <formula>"Cotação Balaroti"</formula>
    </cfRule>
  </conditionalFormatting>
  <conditionalFormatting sqref="A925">
    <cfRule type="cellIs" dxfId="976" priority="1319" stopIfTrue="1" operator="equal">
      <formula>"SINAPI"</formula>
    </cfRule>
  </conditionalFormatting>
  <conditionalFormatting sqref="B111">
    <cfRule type="cellIs" dxfId="975" priority="1288" stopIfTrue="1" operator="equal">
      <formula>"Cotação Balaroti"</formula>
    </cfRule>
  </conditionalFormatting>
  <conditionalFormatting sqref="A955">
    <cfRule type="cellIs" dxfId="974" priority="1291" stopIfTrue="1" operator="equal">
      <formula>"SINAPI"</formula>
    </cfRule>
  </conditionalFormatting>
  <conditionalFormatting sqref="B950">
    <cfRule type="cellIs" dxfId="973" priority="1294" stopIfTrue="1" operator="equal">
      <formula>"Cotação Balaroti"</formula>
    </cfRule>
  </conditionalFormatting>
  <conditionalFormatting sqref="B860:B865">
    <cfRule type="cellIs" dxfId="972" priority="1370" stopIfTrue="1" operator="equal">
      <formula>"Cotação Balaroti"</formula>
    </cfRule>
  </conditionalFormatting>
  <conditionalFormatting sqref="A860:A865">
    <cfRule type="cellIs" dxfId="971" priority="1371" stopIfTrue="1" operator="equal">
      <formula>"SINAPI"</formula>
    </cfRule>
  </conditionalFormatting>
  <conditionalFormatting sqref="A854">
    <cfRule type="cellIs" dxfId="970" priority="1369" stopIfTrue="1" operator="equal">
      <formula>"SINAPI"</formula>
    </cfRule>
  </conditionalFormatting>
  <conditionalFormatting sqref="B854">
    <cfRule type="cellIs" dxfId="969" priority="1368" stopIfTrue="1" operator="equal">
      <formula>"Cotação Balaroti"</formula>
    </cfRule>
  </conditionalFormatting>
  <conditionalFormatting sqref="A883">
    <cfRule type="cellIs" dxfId="968" priority="1367" stopIfTrue="1" operator="equal">
      <formula>"SINAPI"</formula>
    </cfRule>
  </conditionalFormatting>
  <conditionalFormatting sqref="A884">
    <cfRule type="cellIs" dxfId="967" priority="1366" stopIfTrue="1" operator="equal">
      <formula>"SINAPI"</formula>
    </cfRule>
  </conditionalFormatting>
  <conditionalFormatting sqref="B887">
    <cfRule type="cellIs" dxfId="966" priority="1364" stopIfTrue="1" operator="equal">
      <formula>"Cotação Balaroti"</formula>
    </cfRule>
  </conditionalFormatting>
  <conditionalFormatting sqref="A887">
    <cfRule type="cellIs" dxfId="965" priority="1365" stopIfTrue="1" operator="equal">
      <formula>"SINAPI"</formula>
    </cfRule>
  </conditionalFormatting>
  <conditionalFormatting sqref="A885">
    <cfRule type="cellIs" dxfId="964" priority="1363" stopIfTrue="1" operator="equal">
      <formula>"SINAPI"</formula>
    </cfRule>
  </conditionalFormatting>
  <conditionalFormatting sqref="A886">
    <cfRule type="cellIs" dxfId="963" priority="1362" stopIfTrue="1" operator="equal">
      <formula>"SINAPI"</formula>
    </cfRule>
  </conditionalFormatting>
  <conditionalFormatting sqref="B883:B886">
    <cfRule type="cellIs" dxfId="962" priority="1361" stopIfTrue="1" operator="equal">
      <formula>"Cotação Balaroti"</formula>
    </cfRule>
  </conditionalFormatting>
  <conditionalFormatting sqref="B906">
    <cfRule type="cellIs" dxfId="961" priority="1343" stopIfTrue="1" operator="equal">
      <formula>"Cotação Balaroti"</formula>
    </cfRule>
  </conditionalFormatting>
  <conditionalFormatting sqref="A906">
    <cfRule type="cellIs" dxfId="960" priority="1344" stopIfTrue="1" operator="equal">
      <formula>"SINAPI"</formula>
    </cfRule>
  </conditionalFormatting>
  <conditionalFormatting sqref="A882">
    <cfRule type="cellIs" dxfId="959" priority="1358" stopIfTrue="1" operator="equal">
      <formula>"SINAPI"</formula>
    </cfRule>
  </conditionalFormatting>
  <conditionalFormatting sqref="B882">
    <cfRule type="cellIs" dxfId="958" priority="1357" stopIfTrue="1" operator="equal">
      <formula>"Cotação Balaroti"</formula>
    </cfRule>
  </conditionalFormatting>
  <conditionalFormatting sqref="A909">
    <cfRule type="cellIs" dxfId="957" priority="1340" stopIfTrue="1" operator="equal">
      <formula>"SINAPI"</formula>
    </cfRule>
  </conditionalFormatting>
  <conditionalFormatting sqref="B909">
    <cfRule type="cellIs" dxfId="956" priority="1339" stopIfTrue="1" operator="equal">
      <formula>"Cotação Balaroti"</formula>
    </cfRule>
  </conditionalFormatting>
  <conditionalFormatting sqref="A894">
    <cfRule type="cellIs" dxfId="955" priority="1354" stopIfTrue="1" operator="equal">
      <formula>"SINAPI"</formula>
    </cfRule>
  </conditionalFormatting>
  <conditionalFormatting sqref="B894">
    <cfRule type="cellIs" dxfId="954" priority="1353" stopIfTrue="1" operator="equal">
      <formula>"Cotação Balaroti"</formula>
    </cfRule>
  </conditionalFormatting>
  <conditionalFormatting sqref="A958">
    <cfRule type="cellIs" dxfId="953" priority="1287" stopIfTrue="1" operator="equal">
      <formula>"SINAPI"</formula>
    </cfRule>
  </conditionalFormatting>
  <conditionalFormatting sqref="B897">
    <cfRule type="cellIs" dxfId="952" priority="1351" stopIfTrue="1" operator="equal">
      <formula>"Cotação Balaroti"</formula>
    </cfRule>
  </conditionalFormatting>
  <conditionalFormatting sqref="A897">
    <cfRule type="cellIs" dxfId="951" priority="1350" stopIfTrue="1" operator="equal">
      <formula>"SINAPI"</formula>
    </cfRule>
  </conditionalFormatting>
  <conditionalFormatting sqref="B904">
    <cfRule type="cellIs" dxfId="950" priority="1346" stopIfTrue="1" operator="equal">
      <formula>"Cotação Balaroti"</formula>
    </cfRule>
  </conditionalFormatting>
  <conditionalFormatting sqref="B903">
    <cfRule type="cellIs" dxfId="949" priority="1347" stopIfTrue="1" operator="equal">
      <formula>"Cotação Balaroti"</formula>
    </cfRule>
  </conditionalFormatting>
  <conditionalFormatting sqref="B905">
    <cfRule type="cellIs" dxfId="948" priority="1342" stopIfTrue="1" operator="equal">
      <formula>"Cotação Balaroti"</formula>
    </cfRule>
  </conditionalFormatting>
  <conditionalFormatting sqref="A904">
    <cfRule type="cellIs" dxfId="947" priority="1349" stopIfTrue="1" operator="equal">
      <formula>"SINAPI"</formula>
    </cfRule>
  </conditionalFormatting>
  <conditionalFormatting sqref="A905">
    <cfRule type="cellIs" dxfId="946" priority="1345" stopIfTrue="1" operator="equal">
      <formula>"SINAPI"</formula>
    </cfRule>
  </conditionalFormatting>
  <conditionalFormatting sqref="B920">
    <cfRule type="cellIs" dxfId="945" priority="1327" stopIfTrue="1" operator="equal">
      <formula>"Cotação Balaroti"</formula>
    </cfRule>
  </conditionalFormatting>
  <conditionalFormatting sqref="B914">
    <cfRule type="cellIs" dxfId="944" priority="1333" stopIfTrue="1" operator="equal">
      <formula>"Cotação Balaroti"</formula>
    </cfRule>
  </conditionalFormatting>
  <conditionalFormatting sqref="A914">
    <cfRule type="cellIs" dxfId="943" priority="1334" stopIfTrue="1" operator="equal">
      <formula>"SINAPI"</formula>
    </cfRule>
  </conditionalFormatting>
  <conditionalFormatting sqref="A903">
    <cfRule type="cellIs" dxfId="942" priority="1348" stopIfTrue="1" operator="equal">
      <formula>"SINAPI"</formula>
    </cfRule>
  </conditionalFormatting>
  <conditionalFormatting sqref="B921">
    <cfRule type="cellIs" dxfId="941" priority="1326" stopIfTrue="1" operator="equal">
      <formula>"Cotação Balaroti"</formula>
    </cfRule>
  </conditionalFormatting>
  <conditionalFormatting sqref="B911">
    <cfRule type="cellIs" dxfId="940" priority="1336" stopIfTrue="1" operator="equal">
      <formula>"Cotação Balaroti"</formula>
    </cfRule>
  </conditionalFormatting>
  <conditionalFormatting sqref="B910">
    <cfRule type="cellIs" dxfId="939" priority="1338" stopIfTrue="1" operator="equal">
      <formula>"Cotação Balaroti"</formula>
    </cfRule>
  </conditionalFormatting>
  <conditionalFormatting sqref="B916">
    <cfRule type="cellIs" dxfId="938" priority="1330" stopIfTrue="1" operator="equal">
      <formula>"Cotação Balaroti"</formula>
    </cfRule>
  </conditionalFormatting>
  <conditionalFormatting sqref="A910">
    <cfRule type="cellIs" dxfId="937" priority="1341" stopIfTrue="1" operator="equal">
      <formula>"SINAPI"</formula>
    </cfRule>
  </conditionalFormatting>
  <conditionalFormatting sqref="A911">
    <cfRule type="cellIs" dxfId="936" priority="1337" stopIfTrue="1" operator="equal">
      <formula>"SINAPI"</formula>
    </cfRule>
  </conditionalFormatting>
  <conditionalFormatting sqref="B955">
    <cfRule type="cellIs" dxfId="935" priority="1290" stopIfTrue="1" operator="equal">
      <formula>"Cotação Balaroti"</formula>
    </cfRule>
  </conditionalFormatting>
  <conditionalFormatting sqref="B915">
    <cfRule type="cellIs" dxfId="934" priority="1332" stopIfTrue="1" operator="equal">
      <formula>"Cotação Balaroti"</formula>
    </cfRule>
  </conditionalFormatting>
  <conditionalFormatting sqref="A915">
    <cfRule type="cellIs" dxfId="933" priority="1335" stopIfTrue="1" operator="equal">
      <formula>"SINAPI"</formula>
    </cfRule>
  </conditionalFormatting>
  <conditionalFormatting sqref="A916">
    <cfRule type="cellIs" dxfId="932" priority="1331" stopIfTrue="1" operator="equal">
      <formula>"SINAPI"</formula>
    </cfRule>
  </conditionalFormatting>
  <conditionalFormatting sqref="B924">
    <cfRule type="cellIs" dxfId="931" priority="1320" stopIfTrue="1" operator="equal">
      <formula>"Cotação Balaroti"</formula>
    </cfRule>
  </conditionalFormatting>
  <conditionalFormatting sqref="B926">
    <cfRule type="cellIs" dxfId="930" priority="1317" stopIfTrue="1" operator="equal">
      <formula>"Cotação Balaroti"</formula>
    </cfRule>
  </conditionalFormatting>
  <conditionalFormatting sqref="B978">
    <cfRule type="cellIs" dxfId="929" priority="1273" stopIfTrue="1" operator="equal">
      <formula>"Cotação Balaroti"</formula>
    </cfRule>
  </conditionalFormatting>
  <conditionalFormatting sqref="A921">
    <cfRule type="cellIs" dxfId="928" priority="1329" stopIfTrue="1" operator="equal">
      <formula>"SINAPI"</formula>
    </cfRule>
  </conditionalFormatting>
  <conditionalFormatting sqref="A922">
    <cfRule type="cellIs" dxfId="927" priority="1325" stopIfTrue="1" operator="equal">
      <formula>"SINAPI"</formula>
    </cfRule>
  </conditionalFormatting>
  <conditionalFormatting sqref="B923">
    <cfRule type="cellIs" dxfId="926" priority="1323" stopIfTrue="1" operator="equal">
      <formula>"Cotação Balaroti"</formula>
    </cfRule>
  </conditionalFormatting>
  <conditionalFormatting sqref="A923">
    <cfRule type="cellIs" dxfId="925" priority="1324" stopIfTrue="1" operator="equal">
      <formula>"SINAPI"</formula>
    </cfRule>
  </conditionalFormatting>
  <conditionalFormatting sqref="A920">
    <cfRule type="cellIs" dxfId="924" priority="1328" stopIfTrue="1" operator="equal">
      <formula>"SINAPI"</formula>
    </cfRule>
  </conditionalFormatting>
  <conditionalFormatting sqref="A924">
    <cfRule type="cellIs" dxfId="923" priority="1321" stopIfTrue="1" operator="equal">
      <formula>"SINAPI"</formula>
    </cfRule>
  </conditionalFormatting>
  <conditionalFormatting sqref="A942">
    <cfRule type="cellIs" dxfId="922" priority="1301" stopIfTrue="1" operator="equal">
      <formula>"SINAPI"</formula>
    </cfRule>
  </conditionalFormatting>
  <conditionalFormatting sqref="A926">
    <cfRule type="cellIs" dxfId="921" priority="1318" stopIfTrue="1" operator="equal">
      <formula>"SINAPI"</formula>
    </cfRule>
  </conditionalFormatting>
  <conditionalFormatting sqref="B931">
    <cfRule type="cellIs" dxfId="920" priority="1308" stopIfTrue="1" operator="equal">
      <formula>"Cotação Balaroti"</formula>
    </cfRule>
  </conditionalFormatting>
  <conditionalFormatting sqref="B934">
    <cfRule type="cellIs" dxfId="919" priority="1302" stopIfTrue="1" operator="equal">
      <formula>"Cotação Balaroti"</formula>
    </cfRule>
  </conditionalFormatting>
  <conditionalFormatting sqref="A934">
    <cfRule type="cellIs" dxfId="918" priority="1305" stopIfTrue="1" operator="equal">
      <formula>"SINAPI"</formula>
    </cfRule>
  </conditionalFormatting>
  <conditionalFormatting sqref="B929">
    <cfRule type="cellIs" dxfId="917" priority="1313" stopIfTrue="1" operator="equal">
      <formula>"Cotação Balaroti"</formula>
    </cfRule>
  </conditionalFormatting>
  <conditionalFormatting sqref="B930">
    <cfRule type="cellIs" dxfId="916" priority="1312" stopIfTrue="1" operator="equal">
      <formula>"Cotação Balaroti"</formula>
    </cfRule>
  </conditionalFormatting>
  <conditionalFormatting sqref="B975">
    <cfRule type="cellIs" dxfId="915" priority="1275" stopIfTrue="1" operator="equal">
      <formula>"Cotação Balaroti"</formula>
    </cfRule>
  </conditionalFormatting>
  <conditionalFormatting sqref="B935">
    <cfRule type="cellIs" dxfId="914" priority="1303" stopIfTrue="1" operator="equal">
      <formula>"Cotação Balaroti"</formula>
    </cfRule>
  </conditionalFormatting>
  <conditionalFormatting sqref="A930">
    <cfRule type="cellIs" dxfId="913" priority="1315" stopIfTrue="1" operator="equal">
      <formula>"SINAPI"</formula>
    </cfRule>
  </conditionalFormatting>
  <conditionalFormatting sqref="A931">
    <cfRule type="cellIs" dxfId="912" priority="1311" stopIfTrue="1" operator="equal">
      <formula>"SINAPI"</formula>
    </cfRule>
  </conditionalFormatting>
  <conditionalFormatting sqref="B932">
    <cfRule type="cellIs" dxfId="911" priority="1309" stopIfTrue="1" operator="equal">
      <formula>"Cotação Balaroti"</formula>
    </cfRule>
  </conditionalFormatting>
  <conditionalFormatting sqref="A932">
    <cfRule type="cellIs" dxfId="910" priority="1310" stopIfTrue="1" operator="equal">
      <formula>"SINAPI"</formula>
    </cfRule>
  </conditionalFormatting>
  <conditionalFormatting sqref="A929">
    <cfRule type="cellIs" dxfId="909" priority="1314" stopIfTrue="1" operator="equal">
      <formula>"SINAPI"</formula>
    </cfRule>
  </conditionalFormatting>
  <conditionalFormatting sqref="A933">
    <cfRule type="cellIs" dxfId="908" priority="1307" stopIfTrue="1" operator="equal">
      <formula>"SINAPI"</formula>
    </cfRule>
  </conditionalFormatting>
  <conditionalFormatting sqref="A935">
    <cfRule type="cellIs" dxfId="907" priority="1304" stopIfTrue="1" operator="equal">
      <formula>"SINAPI"</formula>
    </cfRule>
  </conditionalFormatting>
  <conditionalFormatting sqref="B958">
    <cfRule type="cellIs" dxfId="906" priority="1286" stopIfTrue="1" operator="equal">
      <formula>"Cotação Balaroti"</formula>
    </cfRule>
  </conditionalFormatting>
  <conditionalFormatting sqref="A951">
    <cfRule type="cellIs" dxfId="905" priority="1297" stopIfTrue="1" operator="equal">
      <formula>"SINAPI"</formula>
    </cfRule>
  </conditionalFormatting>
  <conditionalFormatting sqref="B942">
    <cfRule type="cellIs" dxfId="904" priority="1299" stopIfTrue="1" operator="equal">
      <formula>"Cotação Balaroti"</formula>
    </cfRule>
  </conditionalFormatting>
  <conditionalFormatting sqref="A941">
    <cfRule type="cellIs" dxfId="903" priority="1300" stopIfTrue="1" operator="equal">
      <formula>"SINAPI"</formula>
    </cfRule>
  </conditionalFormatting>
  <conditionalFormatting sqref="B965">
    <cfRule type="cellIs" dxfId="902" priority="1284" stopIfTrue="1" operator="equal">
      <formula>"Cotação Balaroti"</formula>
    </cfRule>
  </conditionalFormatting>
  <conditionalFormatting sqref="A954">
    <cfRule type="cellIs" dxfId="901" priority="1293" stopIfTrue="1" operator="equal">
      <formula>"SINAPI"</formula>
    </cfRule>
  </conditionalFormatting>
  <conditionalFormatting sqref="B951">
    <cfRule type="cellIs" dxfId="900" priority="1295" stopIfTrue="1" operator="equal">
      <formula>"Cotação Balaroti"</formula>
    </cfRule>
  </conditionalFormatting>
  <conditionalFormatting sqref="A950">
    <cfRule type="cellIs" dxfId="899" priority="1296" stopIfTrue="1" operator="equal">
      <formula>"SINAPI"</formula>
    </cfRule>
  </conditionalFormatting>
  <conditionalFormatting sqref="B973">
    <cfRule type="cellIs" dxfId="898" priority="1269" stopIfTrue="1" operator="equal">
      <formula>"Cotação Balaroti"</formula>
    </cfRule>
  </conditionalFormatting>
  <conditionalFormatting sqref="B977">
    <cfRule type="cellIs" dxfId="897" priority="1265" stopIfTrue="1" operator="equal">
      <formula>"Cotação Balaroti"</formula>
    </cfRule>
  </conditionalFormatting>
  <conditionalFormatting sqref="A111">
    <cfRule type="cellIs" dxfId="896" priority="1289" stopIfTrue="1" operator="equal">
      <formula>"SINAPI"</formula>
    </cfRule>
  </conditionalFormatting>
  <conditionalFormatting sqref="A965">
    <cfRule type="cellIs" dxfId="895" priority="1285" stopIfTrue="1" operator="equal">
      <formula>"SINAPI"</formula>
    </cfRule>
  </conditionalFormatting>
  <conditionalFormatting sqref="A977">
    <cfRule type="cellIs" dxfId="894" priority="1266" stopIfTrue="1" operator="equal">
      <formula>"SINAPI"</formula>
    </cfRule>
  </conditionalFormatting>
  <conditionalFormatting sqref="B980">
    <cfRule type="cellIs" dxfId="893" priority="1271" stopIfTrue="1" operator="equal">
      <formula>"Cotação Balaroti"</formula>
    </cfRule>
  </conditionalFormatting>
  <conditionalFormatting sqref="A980">
    <cfRule type="cellIs" dxfId="892" priority="1272" stopIfTrue="1" operator="equal">
      <formula>"SINAPI"</formula>
    </cfRule>
  </conditionalFormatting>
  <conditionalFormatting sqref="B981">
    <cfRule type="cellIs" dxfId="891" priority="1282" stopIfTrue="1" operator="equal">
      <formula>"Cotação Balaroti"</formula>
    </cfRule>
  </conditionalFormatting>
  <conditionalFormatting sqref="A972">
    <cfRule type="cellIs" dxfId="890" priority="1280" stopIfTrue="1" operator="equal">
      <formula>"SINAPI"</formula>
    </cfRule>
  </conditionalFormatting>
  <conditionalFormatting sqref="A973:A974">
    <cfRule type="cellIs" dxfId="889" priority="1281" stopIfTrue="1" operator="equal">
      <formula>"SINAPI"</formula>
    </cfRule>
  </conditionalFormatting>
  <conditionalFormatting sqref="B972">
    <cfRule type="cellIs" dxfId="888" priority="1279" stopIfTrue="1" operator="equal">
      <formula>"Cotação Balaroti"</formula>
    </cfRule>
  </conditionalFormatting>
  <conditionalFormatting sqref="B976">
    <cfRule type="cellIs" dxfId="887" priority="1277" stopIfTrue="1" operator="equal">
      <formula>"Cotação Balaroti"</formula>
    </cfRule>
  </conditionalFormatting>
  <conditionalFormatting sqref="A976">
    <cfRule type="cellIs" dxfId="886" priority="1278" stopIfTrue="1" operator="equal">
      <formula>"SINAPI"</formula>
    </cfRule>
  </conditionalFormatting>
  <conditionalFormatting sqref="A975">
    <cfRule type="cellIs" dxfId="885" priority="1276" stopIfTrue="1" operator="equal">
      <formula>"SINAPI"</formula>
    </cfRule>
  </conditionalFormatting>
  <conditionalFormatting sqref="B979">
    <cfRule type="cellIs" dxfId="884" priority="1274" stopIfTrue="1" operator="equal">
      <formula>"Cotação Balaroti"</formula>
    </cfRule>
  </conditionalFormatting>
  <conditionalFormatting sqref="B974">
    <cfRule type="cellIs" dxfId="883" priority="1270" stopIfTrue="1" operator="equal">
      <formula>"Cotação Balaroti"</formula>
    </cfRule>
  </conditionalFormatting>
  <conditionalFormatting sqref="B1077">
    <cfRule type="cellIs" dxfId="882" priority="1182" stopIfTrue="1" operator="equal">
      <formula>"Cotação Balaroti"</formula>
    </cfRule>
  </conditionalFormatting>
  <conditionalFormatting sqref="A1077">
    <cfRule type="cellIs" dxfId="881" priority="1183" stopIfTrue="1" operator="equal">
      <formula>"SINAPI"</formula>
    </cfRule>
  </conditionalFormatting>
  <conditionalFormatting sqref="A986">
    <cfRule type="cellIs" dxfId="880" priority="1264" stopIfTrue="1" operator="equal">
      <formula>"SINAPI"</formula>
    </cfRule>
  </conditionalFormatting>
  <conditionalFormatting sqref="B986">
    <cfRule type="cellIs" dxfId="879" priority="1263" stopIfTrue="1" operator="equal">
      <formula>"Cotação Balaroti"</formula>
    </cfRule>
  </conditionalFormatting>
  <conditionalFormatting sqref="B987">
    <cfRule type="cellIs" dxfId="878" priority="1261" stopIfTrue="1" operator="equal">
      <formula>"Cotação Balaroti"</formula>
    </cfRule>
  </conditionalFormatting>
  <conditionalFormatting sqref="A987">
    <cfRule type="cellIs" dxfId="877" priority="1262" stopIfTrue="1" operator="equal">
      <formula>"SINAPI"</formula>
    </cfRule>
  </conditionalFormatting>
  <conditionalFormatting sqref="B988">
    <cfRule type="cellIs" dxfId="876" priority="1259" stopIfTrue="1" operator="equal">
      <formula>"Cotação Balaroti"</formula>
    </cfRule>
  </conditionalFormatting>
  <conditionalFormatting sqref="A988">
    <cfRule type="cellIs" dxfId="875" priority="1260" stopIfTrue="1" operator="equal">
      <formula>"SINAPI"</formula>
    </cfRule>
  </conditionalFormatting>
  <conditionalFormatting sqref="B985">
    <cfRule type="cellIs" dxfId="874" priority="1257" stopIfTrue="1" operator="equal">
      <formula>"Cotação Balaroti"</formula>
    </cfRule>
  </conditionalFormatting>
  <conditionalFormatting sqref="A985">
    <cfRule type="cellIs" dxfId="873" priority="1258" stopIfTrue="1" operator="equal">
      <formula>"SINAPI"</formula>
    </cfRule>
  </conditionalFormatting>
  <conditionalFormatting sqref="B1010">
    <cfRule type="cellIs" dxfId="872" priority="1253" stopIfTrue="1" operator="equal">
      <formula>"Cotação Balaroti"</formula>
    </cfRule>
  </conditionalFormatting>
  <conditionalFormatting sqref="A1009:A1010">
    <cfRule type="cellIs" dxfId="871" priority="1254" stopIfTrue="1" operator="equal">
      <formula>"SINAPI"</formula>
    </cfRule>
  </conditionalFormatting>
  <conditionalFormatting sqref="B1009">
    <cfRule type="cellIs" dxfId="870" priority="1243" stopIfTrue="1" operator="equal">
      <formula>"Cotação Balaroti"</formula>
    </cfRule>
  </conditionalFormatting>
  <conditionalFormatting sqref="A1005">
    <cfRule type="cellIs" dxfId="869" priority="1250" stopIfTrue="1" operator="equal">
      <formula>"SINAPI"</formula>
    </cfRule>
  </conditionalFormatting>
  <conditionalFormatting sqref="B1005">
    <cfRule type="cellIs" dxfId="868" priority="1249" stopIfTrue="1" operator="equal">
      <formula>"Cotação Balaroti"</formula>
    </cfRule>
  </conditionalFormatting>
  <conditionalFormatting sqref="B1007">
    <cfRule type="cellIs" dxfId="867" priority="1247" stopIfTrue="1" operator="equal">
      <formula>"Cotação Balaroti"</formula>
    </cfRule>
  </conditionalFormatting>
  <conditionalFormatting sqref="A1007">
    <cfRule type="cellIs" dxfId="866" priority="1248" stopIfTrue="1" operator="equal">
      <formula>"SINAPI"</formula>
    </cfRule>
  </conditionalFormatting>
  <conditionalFormatting sqref="B1006">
    <cfRule type="cellIs" dxfId="865" priority="1240" stopIfTrue="1" operator="equal">
      <formula>"Cotação Balaroti"</formula>
    </cfRule>
  </conditionalFormatting>
  <conditionalFormatting sqref="B1008">
    <cfRule type="cellIs" dxfId="864" priority="1235" stopIfTrue="1" operator="equal">
      <formula>"Cotação Balaroti"</formula>
    </cfRule>
  </conditionalFormatting>
  <conditionalFormatting sqref="A1008">
    <cfRule type="cellIs" dxfId="863" priority="1236" stopIfTrue="1" operator="equal">
      <formula>"SINAPI"</formula>
    </cfRule>
  </conditionalFormatting>
  <conditionalFormatting sqref="B1025">
    <cfRule type="cellIs" dxfId="862" priority="1233" stopIfTrue="1" operator="equal">
      <formula>"Cotação Balaroti"</formula>
    </cfRule>
  </conditionalFormatting>
  <conditionalFormatting sqref="A1025">
    <cfRule type="cellIs" dxfId="861" priority="1234" stopIfTrue="1" operator="equal">
      <formula>"SINAPI"</formula>
    </cfRule>
  </conditionalFormatting>
  <conditionalFormatting sqref="B1021:B1024">
    <cfRule type="cellIs" dxfId="860" priority="1231" stopIfTrue="1" operator="equal">
      <formula>"Cotação Balaroti"</formula>
    </cfRule>
  </conditionalFormatting>
  <conditionalFormatting sqref="A1021:A1024">
    <cfRule type="cellIs" dxfId="859" priority="1232" stopIfTrue="1" operator="equal">
      <formula>"SINAPI"</formula>
    </cfRule>
  </conditionalFormatting>
  <conditionalFormatting sqref="B1019:B1020">
    <cfRule type="cellIs" dxfId="858" priority="1229" stopIfTrue="1" operator="equal">
      <formula>"Cotação Balaroti"</formula>
    </cfRule>
  </conditionalFormatting>
  <conditionalFormatting sqref="A1019:A1020">
    <cfRule type="cellIs" dxfId="857" priority="1230" stopIfTrue="1" operator="equal">
      <formula>"SINAPI"</formula>
    </cfRule>
  </conditionalFormatting>
  <conditionalFormatting sqref="B1033">
    <cfRule type="cellIs" dxfId="856" priority="1227" stopIfTrue="1" operator="equal">
      <formula>"Cotação Balaroti"</formula>
    </cfRule>
  </conditionalFormatting>
  <conditionalFormatting sqref="A1033">
    <cfRule type="cellIs" dxfId="855" priority="1228" stopIfTrue="1" operator="equal">
      <formula>"SINAPI"</formula>
    </cfRule>
  </conditionalFormatting>
  <conditionalFormatting sqref="B1027:B1028">
    <cfRule type="cellIs" dxfId="854" priority="1223" stopIfTrue="1" operator="equal">
      <formula>"Cotação Balaroti"</formula>
    </cfRule>
  </conditionalFormatting>
  <conditionalFormatting sqref="B1029:B1032">
    <cfRule type="cellIs" dxfId="853" priority="1225" stopIfTrue="1" operator="equal">
      <formula>"Cotação Balaroti"</formula>
    </cfRule>
  </conditionalFormatting>
  <conditionalFormatting sqref="A1029:A1032">
    <cfRule type="cellIs" dxfId="852" priority="1226" stopIfTrue="1" operator="equal">
      <formula>"SINAPI"</formula>
    </cfRule>
  </conditionalFormatting>
  <conditionalFormatting sqref="A1027:A1028">
    <cfRule type="cellIs" dxfId="851" priority="1224" stopIfTrue="1" operator="equal">
      <formula>"SINAPI"</formula>
    </cfRule>
  </conditionalFormatting>
  <conditionalFormatting sqref="B1039:B1040">
    <cfRule type="cellIs" dxfId="850" priority="1219" stopIfTrue="1" operator="equal">
      <formula>"Cotação Balaroti"</formula>
    </cfRule>
  </conditionalFormatting>
  <conditionalFormatting sqref="B1037:B1038">
    <cfRule type="cellIs" dxfId="849" priority="1221" stopIfTrue="1" operator="equal">
      <formula>"Cotação Balaroti"</formula>
    </cfRule>
  </conditionalFormatting>
  <conditionalFormatting sqref="A1037:A1038">
    <cfRule type="cellIs" dxfId="848" priority="1222" stopIfTrue="1" operator="equal">
      <formula>"SINAPI"</formula>
    </cfRule>
  </conditionalFormatting>
  <conditionalFormatting sqref="A1039:A1040">
    <cfRule type="cellIs" dxfId="847" priority="1220" stopIfTrue="1" operator="equal">
      <formula>"SINAPI"</formula>
    </cfRule>
  </conditionalFormatting>
  <conditionalFormatting sqref="B1045">
    <cfRule type="cellIs" dxfId="846" priority="1217" stopIfTrue="1" operator="equal">
      <formula>"Cotação Balaroti"</formula>
    </cfRule>
  </conditionalFormatting>
  <conditionalFormatting sqref="A1045">
    <cfRule type="cellIs" dxfId="845" priority="1218" stopIfTrue="1" operator="equal">
      <formula>"SINAPI"</formula>
    </cfRule>
  </conditionalFormatting>
  <conditionalFormatting sqref="B1046">
    <cfRule type="cellIs" dxfId="844" priority="1215" stopIfTrue="1" operator="equal">
      <formula>"Cotação Balaroti"</formula>
    </cfRule>
  </conditionalFormatting>
  <conditionalFormatting sqref="A1046">
    <cfRule type="cellIs" dxfId="843" priority="1216" stopIfTrue="1" operator="equal">
      <formula>"SINAPI"</formula>
    </cfRule>
  </conditionalFormatting>
  <conditionalFormatting sqref="B1047:B1048">
    <cfRule type="cellIs" dxfId="842" priority="1213" stopIfTrue="1" operator="equal">
      <formula>"Cotação Balaroti"</formula>
    </cfRule>
  </conditionalFormatting>
  <conditionalFormatting sqref="A1047:A1048">
    <cfRule type="cellIs" dxfId="841" priority="1214" stopIfTrue="1" operator="equal">
      <formula>"SINAPI"</formula>
    </cfRule>
  </conditionalFormatting>
  <conditionalFormatting sqref="A1051">
    <cfRule type="cellIs" dxfId="840" priority="1212" stopIfTrue="1" operator="equal">
      <formula>"SINAPI"</formula>
    </cfRule>
  </conditionalFormatting>
  <conditionalFormatting sqref="B1051">
    <cfRule type="cellIs" dxfId="839" priority="1211" stopIfTrue="1" operator="equal">
      <formula>"Cotação Balaroti"</formula>
    </cfRule>
  </conditionalFormatting>
  <conditionalFormatting sqref="A1055">
    <cfRule type="cellIs" dxfId="838" priority="1210" stopIfTrue="1" operator="equal">
      <formula>"SINAPI"</formula>
    </cfRule>
  </conditionalFormatting>
  <conditionalFormatting sqref="B1055">
    <cfRule type="cellIs" dxfId="837" priority="1209" stopIfTrue="1" operator="equal">
      <formula>"Cotação Balaroti"</formula>
    </cfRule>
  </conditionalFormatting>
  <conditionalFormatting sqref="A1052">
    <cfRule type="cellIs" dxfId="836" priority="1208" stopIfTrue="1" operator="equal">
      <formula>"SINAPI"</formula>
    </cfRule>
  </conditionalFormatting>
  <conditionalFormatting sqref="B1052">
    <cfRule type="cellIs" dxfId="835" priority="1207" stopIfTrue="1" operator="equal">
      <formula>"Cotação Balaroti"</formula>
    </cfRule>
  </conditionalFormatting>
  <conditionalFormatting sqref="A1056">
    <cfRule type="cellIs" dxfId="834" priority="1206" stopIfTrue="1" operator="equal">
      <formula>"SINAPI"</formula>
    </cfRule>
  </conditionalFormatting>
  <conditionalFormatting sqref="B1056">
    <cfRule type="cellIs" dxfId="833" priority="1205" stopIfTrue="1" operator="equal">
      <formula>"Cotação Balaroti"</formula>
    </cfRule>
  </conditionalFormatting>
  <conditionalFormatting sqref="B1095">
    <cfRule type="cellIs" dxfId="832" priority="1146" stopIfTrue="1" operator="equal">
      <formula>"Cotação Balaroti"</formula>
    </cfRule>
  </conditionalFormatting>
  <conditionalFormatting sqref="B1079">
    <cfRule type="cellIs" dxfId="831" priority="1177" stopIfTrue="1" operator="equal">
      <formula>"Cotação Balaroti"</formula>
    </cfRule>
  </conditionalFormatting>
  <conditionalFormatting sqref="B1082">
    <cfRule type="cellIs" dxfId="830" priority="1171" stopIfTrue="1" operator="equal">
      <formula>"Cotação Balaroti"</formula>
    </cfRule>
  </conditionalFormatting>
  <conditionalFormatting sqref="A1082">
    <cfRule type="cellIs" dxfId="829" priority="1174" stopIfTrue="1" operator="equal">
      <formula>"SINAPI"</formula>
    </cfRule>
  </conditionalFormatting>
  <conditionalFormatting sqref="B1062">
    <cfRule type="cellIs" dxfId="828" priority="1201" stopIfTrue="1" operator="equal">
      <formula>"Cotação Balaroti"</formula>
    </cfRule>
  </conditionalFormatting>
  <conditionalFormatting sqref="B1061">
    <cfRule type="cellIs" dxfId="827" priority="1202" stopIfTrue="1" operator="equal">
      <formula>"Cotação Balaroti"</formula>
    </cfRule>
  </conditionalFormatting>
  <conditionalFormatting sqref="B1063">
    <cfRule type="cellIs" dxfId="826" priority="1197" stopIfTrue="1" operator="equal">
      <formula>"Cotação Balaroti"</formula>
    </cfRule>
  </conditionalFormatting>
  <conditionalFormatting sqref="A1062">
    <cfRule type="cellIs" dxfId="825" priority="1204" stopIfTrue="1" operator="equal">
      <formula>"SINAPI"</formula>
    </cfRule>
  </conditionalFormatting>
  <conditionalFormatting sqref="A1063">
    <cfRule type="cellIs" dxfId="824" priority="1200" stopIfTrue="1" operator="equal">
      <formula>"SINAPI"</formula>
    </cfRule>
  </conditionalFormatting>
  <conditionalFormatting sqref="B1080">
    <cfRule type="cellIs" dxfId="823" priority="1178" stopIfTrue="1" operator="equal">
      <formula>"Cotação Balaroti"</formula>
    </cfRule>
  </conditionalFormatting>
  <conditionalFormatting sqref="B1064">
    <cfRule type="cellIs" dxfId="822" priority="1198" stopIfTrue="1" operator="equal">
      <formula>"Cotação Balaroti"</formula>
    </cfRule>
  </conditionalFormatting>
  <conditionalFormatting sqref="A1064">
    <cfRule type="cellIs" dxfId="821" priority="1199" stopIfTrue="1" operator="equal">
      <formula>"SINAPI"</formula>
    </cfRule>
  </conditionalFormatting>
  <conditionalFormatting sqref="A1061">
    <cfRule type="cellIs" dxfId="820" priority="1203" stopIfTrue="1" operator="equal">
      <formula>"SINAPI"</formula>
    </cfRule>
  </conditionalFormatting>
  <conditionalFormatting sqref="B1078">
    <cfRule type="cellIs" dxfId="819" priority="1181" stopIfTrue="1" operator="equal">
      <formula>"Cotação Balaroti"</formula>
    </cfRule>
  </conditionalFormatting>
  <conditionalFormatting sqref="B1069">
    <cfRule type="cellIs" dxfId="818" priority="1191" stopIfTrue="1" operator="equal">
      <formula>"Cotação Balaroti"</formula>
    </cfRule>
  </conditionalFormatting>
  <conditionalFormatting sqref="B1068">
    <cfRule type="cellIs" dxfId="817" priority="1193" stopIfTrue="1" operator="equal">
      <formula>"Cotação Balaroti"</formula>
    </cfRule>
  </conditionalFormatting>
  <conditionalFormatting sqref="B1067">
    <cfRule type="cellIs" dxfId="816" priority="1194" stopIfTrue="1" operator="equal">
      <formula>"Cotação Balaroti"</formula>
    </cfRule>
  </conditionalFormatting>
  <conditionalFormatting sqref="B1101">
    <cfRule type="cellIs" dxfId="815" priority="1144" stopIfTrue="1" operator="equal">
      <formula>"Cotação Balaroti"</formula>
    </cfRule>
  </conditionalFormatting>
  <conditionalFormatting sqref="A1068">
    <cfRule type="cellIs" dxfId="814" priority="1196" stopIfTrue="1" operator="equal">
      <formula>"SINAPI"</formula>
    </cfRule>
  </conditionalFormatting>
  <conditionalFormatting sqref="A1069">
    <cfRule type="cellIs" dxfId="813" priority="1192" stopIfTrue="1" operator="equal">
      <formula>"SINAPI"</formula>
    </cfRule>
  </conditionalFormatting>
  <conditionalFormatting sqref="A1067">
    <cfRule type="cellIs" dxfId="812" priority="1195" stopIfTrue="1" operator="equal">
      <formula>"SINAPI"</formula>
    </cfRule>
  </conditionalFormatting>
  <conditionalFormatting sqref="B1136">
    <cfRule type="cellIs" dxfId="811" priority="1122" stopIfTrue="1" operator="equal">
      <formula>"Cotação Balaroti"</formula>
    </cfRule>
  </conditionalFormatting>
  <conditionalFormatting sqref="B1155:B1157">
    <cfRule type="cellIs" dxfId="810" priority="1110" stopIfTrue="1" operator="equal">
      <formula>"Cotação Balaroti"</formula>
    </cfRule>
  </conditionalFormatting>
  <conditionalFormatting sqref="A1078">
    <cfRule type="cellIs" dxfId="809" priority="1184" stopIfTrue="1" operator="equal">
      <formula>"SINAPI"</formula>
    </cfRule>
  </conditionalFormatting>
  <conditionalFormatting sqref="A1079">
    <cfRule type="cellIs" dxfId="808" priority="1180" stopIfTrue="1" operator="equal">
      <formula>"SINAPI"</formula>
    </cfRule>
  </conditionalFormatting>
  <conditionalFormatting sqref="A1080">
    <cfRule type="cellIs" dxfId="807" priority="1179" stopIfTrue="1" operator="equal">
      <formula>"SINAPI"</formula>
    </cfRule>
  </conditionalFormatting>
  <conditionalFormatting sqref="B1081">
    <cfRule type="cellIs" dxfId="806" priority="1175" stopIfTrue="1" operator="equal">
      <formula>"Cotação Balaroti"</formula>
    </cfRule>
  </conditionalFormatting>
  <conditionalFormatting sqref="B1083">
    <cfRule type="cellIs" dxfId="805" priority="1172" stopIfTrue="1" operator="equal">
      <formula>"Cotação Balaroti"</formula>
    </cfRule>
  </conditionalFormatting>
  <conditionalFormatting sqref="A1101">
    <cfRule type="cellIs" dxfId="804" priority="1145" stopIfTrue="1" operator="equal">
      <formula>"SINAPI"</formula>
    </cfRule>
  </conditionalFormatting>
  <conditionalFormatting sqref="A1112">
    <cfRule type="cellIs" dxfId="803" priority="1140" stopIfTrue="1" operator="equal">
      <formula>"SINAPI"</formula>
    </cfRule>
  </conditionalFormatting>
  <conditionalFormatting sqref="B1104">
    <cfRule type="cellIs" dxfId="802" priority="1142" stopIfTrue="1" operator="equal">
      <formula>"Cotação Balaroti"</formula>
    </cfRule>
  </conditionalFormatting>
  <conditionalFormatting sqref="A1136">
    <cfRule type="cellIs" dxfId="801" priority="1123" stopIfTrue="1" operator="equal">
      <formula>"SINAPI"</formula>
    </cfRule>
  </conditionalFormatting>
  <conditionalFormatting sqref="A1155:A1157">
    <cfRule type="cellIs" dxfId="800" priority="1111" stopIfTrue="1" operator="equal">
      <formula>"SINAPI"</formula>
    </cfRule>
  </conditionalFormatting>
  <conditionalFormatting sqref="A1081">
    <cfRule type="cellIs" dxfId="799" priority="1176" stopIfTrue="1" operator="equal">
      <formula>"SINAPI"</formula>
    </cfRule>
  </conditionalFormatting>
  <conditionalFormatting sqref="A1083">
    <cfRule type="cellIs" dxfId="798" priority="1173" stopIfTrue="1" operator="equal">
      <formula>"SINAPI"</formula>
    </cfRule>
  </conditionalFormatting>
  <conditionalFormatting sqref="B1072">
    <cfRule type="cellIs" dxfId="797" priority="1154" stopIfTrue="1" operator="equal">
      <formula>"Cotação Balaroti"</formula>
    </cfRule>
  </conditionalFormatting>
  <conditionalFormatting sqref="B1074">
    <cfRule type="cellIs" dxfId="796" priority="1151" stopIfTrue="1" operator="equal">
      <formula>"Cotação Balaroti"</formula>
    </cfRule>
  </conditionalFormatting>
  <conditionalFormatting sqref="A1120">
    <cfRule type="cellIs" dxfId="795" priority="1141" stopIfTrue="1" operator="equal">
      <formula>"SINAPI"</formula>
    </cfRule>
  </conditionalFormatting>
  <conditionalFormatting sqref="B1073">
    <cfRule type="cellIs" dxfId="794" priority="1153" stopIfTrue="1" operator="equal">
      <formula>"Cotação Balaroti"</formula>
    </cfRule>
  </conditionalFormatting>
  <conditionalFormatting sqref="B1092">
    <cfRule type="cellIs" dxfId="793" priority="1149" stopIfTrue="1" operator="equal">
      <formula>"Cotação Balaroti"</formula>
    </cfRule>
  </conditionalFormatting>
  <conditionalFormatting sqref="A1072">
    <cfRule type="cellIs" dxfId="792" priority="1155" stopIfTrue="1" operator="equal">
      <formula>"SINAPI"</formula>
    </cfRule>
  </conditionalFormatting>
  <conditionalFormatting sqref="A1140">
    <cfRule type="cellIs" dxfId="791" priority="1121" stopIfTrue="1" operator="equal">
      <formula>"SINAPI"</formula>
    </cfRule>
  </conditionalFormatting>
  <conditionalFormatting sqref="B1147">
    <cfRule type="cellIs" dxfId="790" priority="1114" stopIfTrue="1" operator="equal">
      <formula>"Cotação Balaroti"</formula>
    </cfRule>
  </conditionalFormatting>
  <conditionalFormatting sqref="A1073">
    <cfRule type="cellIs" dxfId="789" priority="1156" stopIfTrue="1" operator="equal">
      <formula>"SINAPI"</formula>
    </cfRule>
  </conditionalFormatting>
  <conditionalFormatting sqref="A1131">
    <cfRule type="cellIs" dxfId="788" priority="1128" stopIfTrue="1" operator="equal">
      <formula>"SINAPI"</formula>
    </cfRule>
  </conditionalFormatting>
  <conditionalFormatting sqref="A1091:A1092">
    <cfRule type="cellIs" dxfId="787" priority="1150" stopIfTrue="1" operator="equal">
      <formula>"SINAPI"</formula>
    </cfRule>
  </conditionalFormatting>
  <conditionalFormatting sqref="A1147">
    <cfRule type="cellIs" dxfId="786" priority="1115" stopIfTrue="1" operator="equal">
      <formula>"SINAPI"</formula>
    </cfRule>
  </conditionalFormatting>
  <conditionalFormatting sqref="B1091">
    <cfRule type="cellIs" dxfId="785" priority="1148" stopIfTrue="1" operator="equal">
      <formula>"Cotação Balaroti"</formula>
    </cfRule>
  </conditionalFormatting>
  <conditionalFormatting sqref="B1131">
    <cfRule type="cellIs" dxfId="784" priority="1127" stopIfTrue="1" operator="equal">
      <formula>"Cotação Balaroti"</formula>
    </cfRule>
  </conditionalFormatting>
  <conditionalFormatting sqref="B1191">
    <cfRule type="cellIs" dxfId="783" priority="1085" stopIfTrue="1" operator="equal">
      <formula>"Cotação Balaroti"</formula>
    </cfRule>
  </conditionalFormatting>
  <conditionalFormatting sqref="A1095">
    <cfRule type="cellIs" dxfId="782" priority="1147" stopIfTrue="1" operator="equal">
      <formula>"SINAPI"</formula>
    </cfRule>
  </conditionalFormatting>
  <conditionalFormatting sqref="A1074">
    <cfRule type="cellIs" dxfId="781" priority="1152" stopIfTrue="1" operator="equal">
      <formula>"SINAPI"</formula>
    </cfRule>
  </conditionalFormatting>
  <conditionalFormatting sqref="B1113:B1115 B1117:B1119">
    <cfRule type="cellIs" dxfId="780" priority="1137" stopIfTrue="1" operator="equal">
      <formula>"Cotação Balaroti"</formula>
    </cfRule>
  </conditionalFormatting>
  <conditionalFormatting sqref="A1153:A1154">
    <cfRule type="cellIs" dxfId="779" priority="1109" stopIfTrue="1" operator="equal">
      <formula>"SINAPI"</formula>
    </cfRule>
  </conditionalFormatting>
  <conditionalFormatting sqref="B1154">
    <cfRule type="cellIs" dxfId="778" priority="1108" stopIfTrue="1" operator="equal">
      <formula>"Cotação Balaroti"</formula>
    </cfRule>
  </conditionalFormatting>
  <conditionalFormatting sqref="B1140">
    <cfRule type="cellIs" dxfId="777" priority="1120" stopIfTrue="1" operator="equal">
      <formula>"Cotação Balaroti"</formula>
    </cfRule>
  </conditionalFormatting>
  <conditionalFormatting sqref="A1169">
    <cfRule type="cellIs" dxfId="776" priority="1088" stopIfTrue="1" operator="equal">
      <formula>"SINAPI"</formula>
    </cfRule>
  </conditionalFormatting>
  <conditionalFormatting sqref="B1122">
    <cfRule type="cellIs" dxfId="775" priority="1135" stopIfTrue="1" operator="equal">
      <formula>"Cotação Balaroti"</formula>
    </cfRule>
  </conditionalFormatting>
  <conditionalFormatting sqref="A1139">
    <cfRule type="cellIs" dxfId="774" priority="1119" stopIfTrue="1" operator="equal">
      <formula>"SINAPI"</formula>
    </cfRule>
  </conditionalFormatting>
  <conditionalFormatting sqref="B1116">
    <cfRule type="cellIs" dxfId="773" priority="1116" stopIfTrue="1" operator="equal">
      <formula>"Cotação Balaroti"</formula>
    </cfRule>
  </conditionalFormatting>
  <conditionalFormatting sqref="A1104">
    <cfRule type="cellIs" dxfId="772" priority="1143" stopIfTrue="1" operator="equal">
      <formula>"SINAPI"</formula>
    </cfRule>
  </conditionalFormatting>
  <conditionalFormatting sqref="A1123:A1128">
    <cfRule type="cellIs" dxfId="771" priority="1134" stopIfTrue="1" operator="equal">
      <formula>"SINAPI"</formula>
    </cfRule>
  </conditionalFormatting>
  <conditionalFormatting sqref="B1124:B1128">
    <cfRule type="cellIs" dxfId="770" priority="1133" stopIfTrue="1" operator="equal">
      <formula>"Cotação Balaroti"</formula>
    </cfRule>
  </conditionalFormatting>
  <conditionalFormatting sqref="A1122">
    <cfRule type="cellIs" dxfId="769" priority="1136" stopIfTrue="1" operator="equal">
      <formula>"SINAPI"</formula>
    </cfRule>
  </conditionalFormatting>
  <conditionalFormatting sqref="B1112">
    <cfRule type="cellIs" dxfId="768" priority="1139" stopIfTrue="1" operator="equal">
      <formula>"Cotação Balaroti"</formula>
    </cfRule>
  </conditionalFormatting>
  <conditionalFormatting sqref="B1153">
    <cfRule type="cellIs" dxfId="767" priority="1107" stopIfTrue="1" operator="equal">
      <formula>"Cotação Balaroti"</formula>
    </cfRule>
  </conditionalFormatting>
  <conditionalFormatting sqref="A1187">
    <cfRule type="cellIs" dxfId="766" priority="1062" stopIfTrue="1" operator="equal">
      <formula>"SINAPI"</formula>
    </cfRule>
  </conditionalFormatting>
  <conditionalFormatting sqref="B1184">
    <cfRule type="cellIs" dxfId="765" priority="1068" stopIfTrue="1" operator="equal">
      <formula>"Cotação Balaroti"</formula>
    </cfRule>
  </conditionalFormatting>
  <conditionalFormatting sqref="B1137">
    <cfRule type="cellIs" dxfId="764" priority="1124" stopIfTrue="1" operator="equal">
      <formula>"Cotação Balaroti"</formula>
    </cfRule>
  </conditionalFormatting>
  <conditionalFormatting sqref="A1192">
    <cfRule type="cellIs" dxfId="763" priority="1084" stopIfTrue="1" operator="equal">
      <formula>"SINAPI"</formula>
    </cfRule>
  </conditionalFormatting>
  <conditionalFormatting sqref="B1133">
    <cfRule type="cellIs" dxfId="762" priority="1130" stopIfTrue="1" operator="equal">
      <formula>"Cotação Balaroti"</formula>
    </cfRule>
  </conditionalFormatting>
  <conditionalFormatting sqref="A1113:A1115 A1117:A1119">
    <cfRule type="cellIs" dxfId="761" priority="1138" stopIfTrue="1" operator="equal">
      <formula>"SINAPI"</formula>
    </cfRule>
  </conditionalFormatting>
  <conditionalFormatting sqref="B1123">
    <cfRule type="cellIs" dxfId="760" priority="1132" stopIfTrue="1" operator="equal">
      <formula>"Cotação Balaroti"</formula>
    </cfRule>
  </conditionalFormatting>
  <conditionalFormatting sqref="A1132:A1133">
    <cfRule type="cellIs" dxfId="759" priority="1131" stopIfTrue="1" operator="equal">
      <formula>"SINAPI"</formula>
    </cfRule>
  </conditionalFormatting>
  <conditionalFormatting sqref="B1132">
    <cfRule type="cellIs" dxfId="758" priority="1129" stopIfTrue="1" operator="equal">
      <formula>"Cotação Balaroti"</formula>
    </cfRule>
  </conditionalFormatting>
  <conditionalFormatting sqref="B1139">
    <cfRule type="cellIs" dxfId="757" priority="1118" stopIfTrue="1" operator="equal">
      <formula>"Cotação Balaroti"</formula>
    </cfRule>
  </conditionalFormatting>
  <conditionalFormatting sqref="B1138">
    <cfRule type="cellIs" dxfId="756" priority="1125" stopIfTrue="1" operator="equal">
      <formula>"Cotação Balaroti"</formula>
    </cfRule>
  </conditionalFormatting>
  <conditionalFormatting sqref="A1137:A1138">
    <cfRule type="cellIs" dxfId="755" priority="1126" stopIfTrue="1" operator="equal">
      <formula>"SINAPI"</formula>
    </cfRule>
  </conditionalFormatting>
  <conditionalFormatting sqref="B1195">
    <cfRule type="cellIs" dxfId="754" priority="1035" stopIfTrue="1" operator="equal">
      <formula>"Cotação Balaroti"</formula>
    </cfRule>
  </conditionalFormatting>
  <conditionalFormatting sqref="B1192">
    <cfRule type="cellIs" dxfId="753" priority="1083" stopIfTrue="1" operator="equal">
      <formula>"Cotação Balaroti"</formula>
    </cfRule>
  </conditionalFormatting>
  <conditionalFormatting sqref="A1116">
    <cfRule type="cellIs" dxfId="752" priority="1117" stopIfTrue="1" operator="equal">
      <formula>"SINAPI"</formula>
    </cfRule>
  </conditionalFormatting>
  <conditionalFormatting sqref="B1185">
    <cfRule type="cellIs" dxfId="751" priority="1065" stopIfTrue="1" operator="equal">
      <formula>"Cotação Balaroti"</formula>
    </cfRule>
  </conditionalFormatting>
  <conditionalFormatting sqref="A1201 A1203">
    <cfRule type="cellIs" dxfId="750" priority="1026" stopIfTrue="1" operator="equal">
      <formula>"SINAPI"</formula>
    </cfRule>
  </conditionalFormatting>
  <conditionalFormatting sqref="B1150">
    <cfRule type="cellIs" dxfId="749" priority="1112" stopIfTrue="1" operator="equal">
      <formula>"Cotação Balaroti"</formula>
    </cfRule>
  </conditionalFormatting>
  <conditionalFormatting sqref="A1182">
    <cfRule type="cellIs" dxfId="748" priority="1060" stopIfTrue="1" operator="equal">
      <formula>"SINAPI"</formula>
    </cfRule>
  </conditionalFormatting>
  <conditionalFormatting sqref="B1178">
    <cfRule type="cellIs" dxfId="747" priority="1063" stopIfTrue="1" operator="equal">
      <formula>"Cotação Balaroti"</formula>
    </cfRule>
  </conditionalFormatting>
  <conditionalFormatting sqref="A1193">
    <cfRule type="cellIs" dxfId="746" priority="1082" stopIfTrue="1" operator="equal">
      <formula>"SINAPI"</formula>
    </cfRule>
  </conditionalFormatting>
  <conditionalFormatting sqref="A1150">
    <cfRule type="cellIs" dxfId="745" priority="1113" stopIfTrue="1" operator="equal">
      <formula>"SINAPI"</formula>
    </cfRule>
  </conditionalFormatting>
  <conditionalFormatting sqref="B1180">
    <cfRule type="cellIs" dxfId="744" priority="1069" stopIfTrue="1" operator="equal">
      <formula>"Cotação Balaroti"</formula>
    </cfRule>
  </conditionalFormatting>
  <conditionalFormatting sqref="A1180">
    <cfRule type="cellIs" dxfId="743" priority="1070" stopIfTrue="1" operator="equal">
      <formula>"SINAPI"</formula>
    </cfRule>
  </conditionalFormatting>
  <conditionalFormatting sqref="B1197">
    <cfRule type="cellIs" dxfId="742" priority="1036" stopIfTrue="1" operator="equal">
      <formula>"Cotação Balaroti"</formula>
    </cfRule>
  </conditionalFormatting>
  <conditionalFormatting sqref="A1195 A1197">
    <cfRule type="cellIs" dxfId="741" priority="1037" stopIfTrue="1" operator="equal">
      <formula>"SINAPI"</formula>
    </cfRule>
  </conditionalFormatting>
  <conditionalFormatting sqref="B1190">
    <cfRule type="cellIs" dxfId="740" priority="1079" stopIfTrue="1" operator="equal">
      <formula>"Cotação Balaroti"</formula>
    </cfRule>
  </conditionalFormatting>
  <conditionalFormatting sqref="B1175">
    <cfRule type="cellIs" dxfId="739" priority="1105" stopIfTrue="1" operator="equal">
      <formula>"Cotação Balaroti"</formula>
    </cfRule>
  </conditionalFormatting>
  <conditionalFormatting sqref="A1170:A1171 A1173 A1175">
    <cfRule type="cellIs" dxfId="738" priority="1106" stopIfTrue="1" operator="equal">
      <formula>"SINAPI"</formula>
    </cfRule>
  </conditionalFormatting>
  <conditionalFormatting sqref="B1170">
    <cfRule type="cellIs" dxfId="737" priority="1095" stopIfTrue="1" operator="equal">
      <formula>"Cotação Balaroti"</formula>
    </cfRule>
  </conditionalFormatting>
  <conditionalFormatting sqref="B1167">
    <cfRule type="cellIs" dxfId="736" priority="1097" stopIfTrue="1" operator="equal">
      <formula>"Cotação Balaroti"</formula>
    </cfRule>
  </conditionalFormatting>
  <conditionalFormatting sqref="B1165">
    <cfRule type="cellIs" dxfId="735" priority="1091" stopIfTrue="1" operator="equal">
      <formula>"Cotação Balaroti"</formula>
    </cfRule>
  </conditionalFormatting>
  <conditionalFormatting sqref="B1187">
    <cfRule type="cellIs" dxfId="734" priority="1061" stopIfTrue="1" operator="equal">
      <formula>"Cotação Balaroti"</formula>
    </cfRule>
  </conditionalFormatting>
  <conditionalFormatting sqref="A1191">
    <cfRule type="cellIs" dxfId="733" priority="1086" stopIfTrue="1" operator="equal">
      <formula>"SINAPI"</formula>
    </cfRule>
  </conditionalFormatting>
  <conditionalFormatting sqref="B1172">
    <cfRule type="cellIs" dxfId="732" priority="1093" stopIfTrue="1" operator="equal">
      <formula>"Cotação Balaroti"</formula>
    </cfRule>
  </conditionalFormatting>
  <conditionalFormatting sqref="A1172">
    <cfRule type="cellIs" dxfId="731" priority="1094" stopIfTrue="1" operator="equal">
      <formula>"SINAPI"</formula>
    </cfRule>
  </conditionalFormatting>
  <conditionalFormatting sqref="B1173">
    <cfRule type="cellIs" dxfId="730" priority="1104" stopIfTrue="1" operator="equal">
      <formula>"Cotação Balaroti"</formula>
    </cfRule>
  </conditionalFormatting>
  <conditionalFormatting sqref="A1164">
    <cfRule type="cellIs" dxfId="729" priority="1102" stopIfTrue="1" operator="equal">
      <formula>"SINAPI"</formula>
    </cfRule>
  </conditionalFormatting>
  <conditionalFormatting sqref="A1165:A1166">
    <cfRule type="cellIs" dxfId="728" priority="1103" stopIfTrue="1" operator="equal">
      <formula>"SINAPI"</formula>
    </cfRule>
  </conditionalFormatting>
  <conditionalFormatting sqref="B1164">
    <cfRule type="cellIs" dxfId="727" priority="1101" stopIfTrue="1" operator="equal">
      <formula>"Cotação Balaroti"</formula>
    </cfRule>
  </conditionalFormatting>
  <conditionalFormatting sqref="B1168">
    <cfRule type="cellIs" dxfId="726" priority="1099" stopIfTrue="1" operator="equal">
      <formula>"Cotação Balaroti"</formula>
    </cfRule>
  </conditionalFormatting>
  <conditionalFormatting sqref="A1168">
    <cfRule type="cellIs" dxfId="725" priority="1100" stopIfTrue="1" operator="equal">
      <formula>"SINAPI"</formula>
    </cfRule>
  </conditionalFormatting>
  <conditionalFormatting sqref="A1167">
    <cfRule type="cellIs" dxfId="724" priority="1098" stopIfTrue="1" operator="equal">
      <formula>"SINAPI"</formula>
    </cfRule>
  </conditionalFormatting>
  <conditionalFormatting sqref="B1171">
    <cfRule type="cellIs" dxfId="723" priority="1096" stopIfTrue="1" operator="equal">
      <formula>"Cotação Balaroti"</formula>
    </cfRule>
  </conditionalFormatting>
  <conditionalFormatting sqref="B1166">
    <cfRule type="cellIs" dxfId="722" priority="1092" stopIfTrue="1" operator="equal">
      <formula>"Cotação Balaroti"</formula>
    </cfRule>
  </conditionalFormatting>
  <conditionalFormatting sqref="B1169">
    <cfRule type="cellIs" dxfId="721" priority="1087" stopIfTrue="1" operator="equal">
      <formula>"Cotação Balaroti"</formula>
    </cfRule>
  </conditionalFormatting>
  <conditionalFormatting sqref="A1205">
    <cfRule type="cellIs" dxfId="720" priority="1017" stopIfTrue="1" operator="equal">
      <formula>"SINAPI"</formula>
    </cfRule>
  </conditionalFormatting>
  <conditionalFormatting sqref="A1185">
    <cfRule type="cellIs" dxfId="719" priority="1066" stopIfTrue="1" operator="equal">
      <formula>"SINAPI"</formula>
    </cfRule>
  </conditionalFormatting>
  <conditionalFormatting sqref="B1182">
    <cfRule type="cellIs" dxfId="718" priority="1059" stopIfTrue="1" operator="equal">
      <formula>"Cotação Balaroti"</formula>
    </cfRule>
  </conditionalFormatting>
  <conditionalFormatting sqref="B1174">
    <cfRule type="cellIs" dxfId="717" priority="1057" stopIfTrue="1" operator="equal">
      <formula>"Cotação Balaroti"</formula>
    </cfRule>
  </conditionalFormatting>
  <conditionalFormatting sqref="A1174">
    <cfRule type="cellIs" dxfId="716" priority="1058" stopIfTrue="1" operator="equal">
      <formula>"SINAPI"</formula>
    </cfRule>
  </conditionalFormatting>
  <conditionalFormatting sqref="B1193">
    <cfRule type="cellIs" dxfId="715" priority="1081" stopIfTrue="1" operator="equal">
      <formula>"Cotação Balaroti"</formula>
    </cfRule>
  </conditionalFormatting>
  <conditionalFormatting sqref="A982">
    <cfRule type="cellIs" dxfId="714" priority="1056" stopIfTrue="1" operator="equal">
      <formula>"SINAPI"</formula>
    </cfRule>
  </conditionalFormatting>
  <conditionalFormatting sqref="B982">
    <cfRule type="cellIs" dxfId="713" priority="1055" stopIfTrue="1" operator="equal">
      <formula>"Cotação Balaroti"</formula>
    </cfRule>
  </conditionalFormatting>
  <conditionalFormatting sqref="A1190">
    <cfRule type="cellIs" dxfId="712" priority="1080" stopIfTrue="1" operator="equal">
      <formula>"SINAPI"</formula>
    </cfRule>
  </conditionalFormatting>
  <conditionalFormatting sqref="B1196">
    <cfRule type="cellIs" dxfId="711" priority="1033" stopIfTrue="1" operator="equal">
      <formula>"Cotação Balaroti"</formula>
    </cfRule>
  </conditionalFormatting>
  <conditionalFormatting sqref="A1405">
    <cfRule type="cellIs" dxfId="710" priority="886" stopIfTrue="1" operator="equal">
      <formula>"SINAPI"</formula>
    </cfRule>
  </conditionalFormatting>
  <conditionalFormatting sqref="B1188">
    <cfRule type="cellIs" dxfId="709" priority="1077" stopIfTrue="1" operator="equal">
      <formula>"Cotação Balaroti"</formula>
    </cfRule>
  </conditionalFormatting>
  <conditionalFormatting sqref="A1183:A1184 A1186 A1188">
    <cfRule type="cellIs" dxfId="708" priority="1078" stopIfTrue="1" operator="equal">
      <formula>"SINAPI"</formula>
    </cfRule>
  </conditionalFormatting>
  <conditionalFormatting sqref="B1183">
    <cfRule type="cellIs" dxfId="707" priority="1067" stopIfTrue="1" operator="equal">
      <formula>"Cotação Balaroti"</formula>
    </cfRule>
  </conditionalFormatting>
  <conditionalFormatting sqref="B1201">
    <cfRule type="cellIs" dxfId="706" priority="1024" stopIfTrue="1" operator="equal">
      <formula>"Cotação Balaroti"</formula>
    </cfRule>
  </conditionalFormatting>
  <conditionalFormatting sqref="B1243">
    <cfRule type="cellIs" dxfId="705" priority="998" stopIfTrue="1" operator="equal">
      <formula>"Cotação Balaroti"</formula>
    </cfRule>
  </conditionalFormatting>
  <conditionalFormatting sqref="A1242">
    <cfRule type="cellIs" dxfId="704" priority="1003" stopIfTrue="1" operator="equal">
      <formula>"SINAPI"</formula>
    </cfRule>
  </conditionalFormatting>
  <conditionalFormatting sqref="B1186">
    <cfRule type="cellIs" dxfId="703" priority="1076" stopIfTrue="1" operator="equal">
      <formula>"Cotação Balaroti"</formula>
    </cfRule>
  </conditionalFormatting>
  <conditionalFormatting sqref="A1177">
    <cfRule type="cellIs" dxfId="702" priority="1074" stopIfTrue="1" operator="equal">
      <formula>"SINAPI"</formula>
    </cfRule>
  </conditionalFormatting>
  <conditionalFormatting sqref="A1178:A1179">
    <cfRule type="cellIs" dxfId="701" priority="1075" stopIfTrue="1" operator="equal">
      <formula>"SINAPI"</formula>
    </cfRule>
  </conditionalFormatting>
  <conditionalFormatting sqref="B1177">
    <cfRule type="cellIs" dxfId="700" priority="1073" stopIfTrue="1" operator="equal">
      <formula>"Cotação Balaroti"</formula>
    </cfRule>
  </conditionalFormatting>
  <conditionalFormatting sqref="B1181">
    <cfRule type="cellIs" dxfId="699" priority="1071" stopIfTrue="1" operator="equal">
      <formula>"Cotação Balaroti"</formula>
    </cfRule>
  </conditionalFormatting>
  <conditionalFormatting sqref="A1181">
    <cfRule type="cellIs" dxfId="698" priority="1072" stopIfTrue="1" operator="equal">
      <formula>"SINAPI"</formula>
    </cfRule>
  </conditionalFormatting>
  <conditionalFormatting sqref="A1388">
    <cfRule type="cellIs" dxfId="697" priority="910" stopIfTrue="1" operator="equal">
      <formula>"SINAPI"</formula>
    </cfRule>
  </conditionalFormatting>
  <conditionalFormatting sqref="B1244">
    <cfRule type="cellIs" dxfId="696" priority="994" stopIfTrue="1" operator="equal">
      <formula>"Cotação Balaroti"</formula>
    </cfRule>
  </conditionalFormatting>
  <conditionalFormatting sqref="B1179">
    <cfRule type="cellIs" dxfId="695" priority="1064" stopIfTrue="1" operator="equal">
      <formula>"Cotação Balaroti"</formula>
    </cfRule>
  </conditionalFormatting>
  <conditionalFormatting sqref="B1203">
    <cfRule type="cellIs" dxfId="694" priority="1025" stopIfTrue="1" operator="equal">
      <formula>"Cotação Balaroti"</formula>
    </cfRule>
  </conditionalFormatting>
  <conditionalFormatting sqref="B1241">
    <cfRule type="cellIs" dxfId="693" priority="1000" stopIfTrue="1" operator="equal">
      <formula>"Cotação Balaroti"</formula>
    </cfRule>
  </conditionalFormatting>
  <conditionalFormatting sqref="A1196">
    <cfRule type="cellIs" dxfId="692" priority="1034" stopIfTrue="1" operator="equal">
      <formula>"SINAPI"</formula>
    </cfRule>
  </conditionalFormatting>
  <conditionalFormatting sqref="B1205">
    <cfRule type="cellIs" dxfId="691" priority="1016" stopIfTrue="1" operator="equal">
      <formula>"Cotação Balaroti"</formula>
    </cfRule>
  </conditionalFormatting>
  <conditionalFormatting sqref="A1241">
    <cfRule type="cellIs" dxfId="690" priority="1001" stopIfTrue="1" operator="equal">
      <formula>"SINAPI"</formula>
    </cfRule>
  </conditionalFormatting>
  <conditionalFormatting sqref="B1198">
    <cfRule type="cellIs" dxfId="689" priority="1029" stopIfTrue="1" operator="equal">
      <formula>"Cotação Balaroti"</formula>
    </cfRule>
  </conditionalFormatting>
  <conditionalFormatting sqref="B1388">
    <cfRule type="cellIs" dxfId="688" priority="909" stopIfTrue="1" operator="equal">
      <formula>"Cotação Balaroti"</formula>
    </cfRule>
  </conditionalFormatting>
  <conditionalFormatting sqref="A1225">
    <cfRule type="cellIs" dxfId="687" priority="1015" stopIfTrue="1" operator="equal">
      <formula>"SINAPI"</formula>
    </cfRule>
  </conditionalFormatting>
  <conditionalFormatting sqref="B1202">
    <cfRule type="cellIs" dxfId="686" priority="1022" stopIfTrue="1" operator="equal">
      <formula>"Cotação Balaroti"</formula>
    </cfRule>
  </conditionalFormatting>
  <conditionalFormatting sqref="A1198">
    <cfRule type="cellIs" dxfId="685" priority="1030" stopIfTrue="1" operator="equal">
      <formula>"SINAPI"</formula>
    </cfRule>
  </conditionalFormatting>
  <conditionalFormatting sqref="A1231">
    <cfRule type="cellIs" dxfId="684" priority="1005" stopIfTrue="1" operator="equal">
      <formula>"SINAPI"</formula>
    </cfRule>
  </conditionalFormatting>
  <conditionalFormatting sqref="B1405">
    <cfRule type="cellIs" dxfId="683" priority="885" stopIfTrue="1" operator="equal">
      <formula>"Cotação Balaroti"</formula>
    </cfRule>
  </conditionalFormatting>
  <conditionalFormatting sqref="A1224">
    <cfRule type="cellIs" dxfId="682" priority="1013" stopIfTrue="1" operator="equal">
      <formula>"SINAPI"</formula>
    </cfRule>
  </conditionalFormatting>
  <conditionalFormatting sqref="B1275:B1278">
    <cfRule type="cellIs" dxfId="681" priority="982" stopIfTrue="1" operator="equal">
      <formula>"Cotação Balaroti"</formula>
    </cfRule>
  </conditionalFormatting>
  <conditionalFormatting sqref="B1226">
    <cfRule type="cellIs" dxfId="680" priority="1010" stopIfTrue="1" operator="equal">
      <formula>"Cotação Balaroti"</formula>
    </cfRule>
  </conditionalFormatting>
  <conditionalFormatting sqref="B1204">
    <cfRule type="cellIs" dxfId="679" priority="1018" stopIfTrue="1" operator="equal">
      <formula>"Cotação Balaroti"</formula>
    </cfRule>
  </conditionalFormatting>
  <conditionalFormatting sqref="A1204">
    <cfRule type="cellIs" dxfId="678" priority="1019" stopIfTrue="1" operator="equal">
      <formula>"SINAPI"</formula>
    </cfRule>
  </conditionalFormatting>
  <conditionalFormatting sqref="A1202">
    <cfRule type="cellIs" dxfId="677" priority="1023" stopIfTrue="1" operator="equal">
      <formula>"SINAPI"</formula>
    </cfRule>
  </conditionalFormatting>
  <conditionalFormatting sqref="A1281:A1282">
    <cfRule type="cellIs" dxfId="676" priority="977" stopIfTrue="1" operator="equal">
      <formula>"SINAPI"</formula>
    </cfRule>
  </conditionalFormatting>
  <conditionalFormatting sqref="B1225">
    <cfRule type="cellIs" dxfId="675" priority="1008" stopIfTrue="1" operator="equal">
      <formula>"Cotação Balaroti"</formula>
    </cfRule>
  </conditionalFormatting>
  <conditionalFormatting sqref="A1227">
    <cfRule type="cellIs" dxfId="674" priority="1007" stopIfTrue="1" operator="equal">
      <formula>"SINAPI"</formula>
    </cfRule>
  </conditionalFormatting>
  <conditionalFormatting sqref="B1231">
    <cfRule type="cellIs" dxfId="673" priority="1004" stopIfTrue="1" operator="equal">
      <formula>"Cotação Balaroti"</formula>
    </cfRule>
  </conditionalFormatting>
  <conditionalFormatting sqref="A1279">
    <cfRule type="cellIs" dxfId="672" priority="985" stopIfTrue="1" operator="equal">
      <formula>"SINAPI"</formula>
    </cfRule>
  </conditionalFormatting>
  <conditionalFormatting sqref="A1226">
    <cfRule type="cellIs" dxfId="671" priority="1011" stopIfTrue="1" operator="equal">
      <formula>"SINAPI"</formula>
    </cfRule>
  </conditionalFormatting>
  <conditionalFormatting sqref="A1228">
    <cfRule type="cellIs" dxfId="670" priority="1014" stopIfTrue="1" operator="equal">
      <formula>"SINAPI"</formula>
    </cfRule>
  </conditionalFormatting>
  <conditionalFormatting sqref="B1228">
    <cfRule type="cellIs" dxfId="669" priority="1009" stopIfTrue="1" operator="equal">
      <formula>"Cotação Balaroti"</formula>
    </cfRule>
  </conditionalFormatting>
  <conditionalFormatting sqref="A1273:A1274">
    <cfRule type="cellIs" dxfId="668" priority="981" stopIfTrue="1" operator="equal">
      <formula>"SINAPI"</formula>
    </cfRule>
  </conditionalFormatting>
  <conditionalFormatting sqref="B1224">
    <cfRule type="cellIs" dxfId="667" priority="1012" stopIfTrue="1" operator="equal">
      <formula>"Cotação Balaroti"</formula>
    </cfRule>
  </conditionalFormatting>
  <conditionalFormatting sqref="B1283:B1286">
    <cfRule type="cellIs" dxfId="666" priority="978" stopIfTrue="1" operator="equal">
      <formula>"Cotação Balaroti"</formula>
    </cfRule>
  </conditionalFormatting>
  <conditionalFormatting sqref="B1281:B1282">
    <cfRule type="cellIs" dxfId="665" priority="976" stopIfTrue="1" operator="equal">
      <formula>"Cotação Balaroti"</formula>
    </cfRule>
  </conditionalFormatting>
  <conditionalFormatting sqref="B1227">
    <cfRule type="cellIs" dxfId="664" priority="1006" stopIfTrue="1" operator="equal">
      <formula>"Cotação Balaroti"</formula>
    </cfRule>
  </conditionalFormatting>
  <conditionalFormatting sqref="A1290:A1293">
    <cfRule type="cellIs" dxfId="663" priority="975" stopIfTrue="1" operator="equal">
      <formula>"SINAPI"</formula>
    </cfRule>
  </conditionalFormatting>
  <conditionalFormatting sqref="A1251">
    <cfRule type="cellIs" dxfId="662" priority="991" stopIfTrue="1" operator="equal">
      <formula>"SINAPI"</formula>
    </cfRule>
  </conditionalFormatting>
  <conditionalFormatting sqref="B1288:B1289">
    <cfRule type="cellIs" dxfId="661" priority="972" stopIfTrue="1" operator="equal">
      <formula>"Cotação Balaroti"</formula>
    </cfRule>
  </conditionalFormatting>
  <conditionalFormatting sqref="A1252">
    <cfRule type="cellIs" dxfId="660" priority="993" stopIfTrue="1" operator="equal">
      <formula>"SINAPI"</formula>
    </cfRule>
  </conditionalFormatting>
  <conditionalFormatting sqref="B1255:B1256">
    <cfRule type="cellIs" dxfId="659" priority="988" stopIfTrue="1" operator="equal">
      <formula>"Cotação Balaroti"</formula>
    </cfRule>
  </conditionalFormatting>
  <conditionalFormatting sqref="B1242">
    <cfRule type="cellIs" dxfId="658" priority="996" stopIfTrue="1" operator="equal">
      <formula>"Cotação Balaroti"</formula>
    </cfRule>
  </conditionalFormatting>
  <conditionalFormatting sqref="A1244">
    <cfRule type="cellIs" dxfId="657" priority="995" stopIfTrue="1" operator="equal">
      <formula>"SINAPI"</formula>
    </cfRule>
  </conditionalFormatting>
  <conditionalFormatting sqref="A1243">
    <cfRule type="cellIs" dxfId="656" priority="999" stopIfTrue="1" operator="equal">
      <formula>"SINAPI"</formula>
    </cfRule>
  </conditionalFormatting>
  <conditionalFormatting sqref="A1245">
    <cfRule type="cellIs" dxfId="655" priority="1002" stopIfTrue="1" operator="equal">
      <formula>"SINAPI"</formula>
    </cfRule>
  </conditionalFormatting>
  <conditionalFormatting sqref="B1245">
    <cfRule type="cellIs" dxfId="654" priority="997" stopIfTrue="1" operator="equal">
      <formula>"Cotação Balaroti"</formula>
    </cfRule>
  </conditionalFormatting>
  <conditionalFormatting sqref="B1252">
    <cfRule type="cellIs" dxfId="653" priority="992" stopIfTrue="1" operator="equal">
      <formula>"Cotação Balaroti"</formula>
    </cfRule>
  </conditionalFormatting>
  <conditionalFormatting sqref="A1255:A1256">
    <cfRule type="cellIs" dxfId="652" priority="989" stopIfTrue="1" operator="equal">
      <formula>"SINAPI"</formula>
    </cfRule>
  </conditionalFormatting>
  <conditionalFormatting sqref="B1340:B1345">
    <cfRule type="cellIs" dxfId="651" priority="942" stopIfTrue="1" operator="equal">
      <formula>"Cotação Balaroti"</formula>
    </cfRule>
  </conditionalFormatting>
  <conditionalFormatting sqref="B1350">
    <cfRule type="cellIs" dxfId="650" priority="940" stopIfTrue="1" operator="equal">
      <formula>"Cotação Balaroti"</formula>
    </cfRule>
  </conditionalFormatting>
  <conditionalFormatting sqref="A1350">
    <cfRule type="cellIs" dxfId="649" priority="941" stopIfTrue="1" operator="equal">
      <formula>"SINAPI"</formula>
    </cfRule>
  </conditionalFormatting>
  <conditionalFormatting sqref="A1339">
    <cfRule type="cellIs" dxfId="648" priority="945" stopIfTrue="1" operator="equal">
      <formula>"SINAPI"</formula>
    </cfRule>
  </conditionalFormatting>
  <conditionalFormatting sqref="B1251">
    <cfRule type="cellIs" dxfId="647" priority="990" stopIfTrue="1" operator="equal">
      <formula>"Cotação Balaroti"</formula>
    </cfRule>
  </conditionalFormatting>
  <conditionalFormatting sqref="B1389">
    <cfRule type="cellIs" dxfId="646" priority="908" stopIfTrue="1" operator="equal">
      <formula>"Cotação Balaroti"</formula>
    </cfRule>
  </conditionalFormatting>
  <conditionalFormatting sqref="A1283:A1286">
    <cfRule type="cellIs" dxfId="645" priority="979" stopIfTrue="1" operator="equal">
      <formula>"SINAPI"</formula>
    </cfRule>
  </conditionalFormatting>
  <conditionalFormatting sqref="B1300:B1301">
    <cfRule type="cellIs" dxfId="644" priority="968" stopIfTrue="1" operator="equal">
      <formula>"Cotação Balaroti"</formula>
    </cfRule>
  </conditionalFormatting>
  <conditionalFormatting sqref="A1288:A1289">
    <cfRule type="cellIs" dxfId="643" priority="973" stopIfTrue="1" operator="equal">
      <formula>"SINAPI"</formula>
    </cfRule>
  </conditionalFormatting>
  <conditionalFormatting sqref="B1279">
    <cfRule type="cellIs" dxfId="642" priority="984" stopIfTrue="1" operator="equal">
      <formula>"Cotação Balaroti"</formula>
    </cfRule>
  </conditionalFormatting>
  <conditionalFormatting sqref="A1298:A1299">
    <cfRule type="cellIs" dxfId="641" priority="971" stopIfTrue="1" operator="equal">
      <formula>"SINAPI"</formula>
    </cfRule>
  </conditionalFormatting>
  <conditionalFormatting sqref="B1290:B1293">
    <cfRule type="cellIs" dxfId="640" priority="974" stopIfTrue="1" operator="equal">
      <formula>"Cotação Balaroti"</formula>
    </cfRule>
  </conditionalFormatting>
  <conditionalFormatting sqref="A1275:A1278">
    <cfRule type="cellIs" dxfId="639" priority="983" stopIfTrue="1" operator="equal">
      <formula>"SINAPI"</formula>
    </cfRule>
  </conditionalFormatting>
  <conditionalFormatting sqref="B1273:B1274">
    <cfRule type="cellIs" dxfId="638" priority="980" stopIfTrue="1" operator="equal">
      <formula>"Cotação Balaroti"</formula>
    </cfRule>
  </conditionalFormatting>
  <conditionalFormatting sqref="A1313">
    <cfRule type="cellIs" dxfId="637" priority="957" stopIfTrue="1" operator="equal">
      <formula>"SINAPI"</formula>
    </cfRule>
  </conditionalFormatting>
  <conditionalFormatting sqref="A1300:A1301">
    <cfRule type="cellIs" dxfId="636" priority="969" stopIfTrue="1" operator="equal">
      <formula>"SINAPI"</formula>
    </cfRule>
  </conditionalFormatting>
  <conditionalFormatting sqref="B1306">
    <cfRule type="cellIs" dxfId="635" priority="962" stopIfTrue="1" operator="equal">
      <formula>"Cotação Balaroti"</formula>
    </cfRule>
  </conditionalFormatting>
  <conditionalFormatting sqref="B1308">
    <cfRule type="cellIs" dxfId="634" priority="958" stopIfTrue="1" operator="equal">
      <formula>"Cotação Balaroti"</formula>
    </cfRule>
  </conditionalFormatting>
  <conditionalFormatting sqref="A1340:A1345">
    <cfRule type="cellIs" dxfId="633" priority="943" stopIfTrue="1" operator="equal">
      <formula>"SINAPI"</formula>
    </cfRule>
  </conditionalFormatting>
  <conditionalFormatting sqref="B1298:B1299">
    <cfRule type="cellIs" dxfId="632" priority="970" stopIfTrue="1" operator="equal">
      <formula>"Cotação Balaroti"</formula>
    </cfRule>
  </conditionalFormatting>
  <conditionalFormatting sqref="A1307">
    <cfRule type="cellIs" dxfId="631" priority="961" stopIfTrue="1" operator="equal">
      <formula>"SINAPI"</formula>
    </cfRule>
  </conditionalFormatting>
  <conditionalFormatting sqref="A1306">
    <cfRule type="cellIs" dxfId="630" priority="963" stopIfTrue="1" operator="equal">
      <formula>"SINAPI"</formula>
    </cfRule>
  </conditionalFormatting>
  <conditionalFormatting sqref="B1366">
    <cfRule type="cellIs" dxfId="629" priority="922" stopIfTrue="1" operator="equal">
      <formula>"Cotação Balaroti"</formula>
    </cfRule>
  </conditionalFormatting>
  <conditionalFormatting sqref="B1370">
    <cfRule type="cellIs" dxfId="628" priority="918" stopIfTrue="1" operator="equal">
      <formula>"Cotação Balaroti"</formula>
    </cfRule>
  </conditionalFormatting>
  <conditionalFormatting sqref="A1338">
    <cfRule type="cellIs" dxfId="627" priority="951" stopIfTrue="1" operator="equal">
      <formula>"SINAPI"</formula>
    </cfRule>
  </conditionalFormatting>
  <conditionalFormatting sqref="B1380:B1381">
    <cfRule type="cellIs" dxfId="626" priority="914" stopIfTrue="1" operator="equal">
      <formula>"Cotação Balaroti"</formula>
    </cfRule>
  </conditionalFormatting>
  <conditionalFormatting sqref="A1365">
    <cfRule type="cellIs" dxfId="625" priority="925" stopIfTrue="1" operator="equal">
      <formula>"SINAPI"</formula>
    </cfRule>
  </conditionalFormatting>
  <conditionalFormatting sqref="A1308">
    <cfRule type="cellIs" dxfId="624" priority="959" stopIfTrue="1" operator="equal">
      <formula>"SINAPI"</formula>
    </cfRule>
  </conditionalFormatting>
  <conditionalFormatting sqref="B1313">
    <cfRule type="cellIs" dxfId="623" priority="956" stopIfTrue="1" operator="equal">
      <formula>"Cotação Balaroti"</formula>
    </cfRule>
  </conditionalFormatting>
  <conditionalFormatting sqref="B1307">
    <cfRule type="cellIs" dxfId="622" priority="960" stopIfTrue="1" operator="equal">
      <formula>"Cotação Balaroti"</formula>
    </cfRule>
  </conditionalFormatting>
  <conditionalFormatting sqref="B1382">
    <cfRule type="cellIs" dxfId="621" priority="912" stopIfTrue="1" operator="equal">
      <formula>"Cotação Balaroti"</formula>
    </cfRule>
  </conditionalFormatting>
  <conditionalFormatting sqref="A1380:A1381">
    <cfRule type="cellIs" dxfId="620" priority="915" stopIfTrue="1" operator="equal">
      <formula>"SINAPI"</formula>
    </cfRule>
  </conditionalFormatting>
  <conditionalFormatting sqref="A1369">
    <cfRule type="cellIs" dxfId="619" priority="921" stopIfTrue="1" operator="equal">
      <formula>"SINAPI"</formula>
    </cfRule>
  </conditionalFormatting>
  <conditionalFormatting sqref="B1338">
    <cfRule type="cellIs" dxfId="618" priority="950" stopIfTrue="1" operator="equal">
      <formula>"Cotação Balaroti"</formula>
    </cfRule>
  </conditionalFormatting>
  <conditionalFormatting sqref="A1370">
    <cfRule type="cellIs" dxfId="617" priority="919" stopIfTrue="1" operator="equal">
      <formula>"SINAPI"</formula>
    </cfRule>
  </conditionalFormatting>
  <conditionalFormatting sqref="B1404">
    <cfRule type="cellIs" dxfId="616" priority="884" stopIfTrue="1" operator="equal">
      <formula>"Cotação Balaroti"</formula>
    </cfRule>
  </conditionalFormatting>
  <conditionalFormatting sqref="A1371:A1372">
    <cfRule type="cellIs" dxfId="615" priority="917" stopIfTrue="1" operator="equal">
      <formula>"SINAPI"</formula>
    </cfRule>
  </conditionalFormatting>
  <conditionalFormatting sqref="B1371:B1372">
    <cfRule type="cellIs" dxfId="614" priority="916" stopIfTrue="1" operator="equal">
      <formula>"Cotação Balaroti"</formula>
    </cfRule>
  </conditionalFormatting>
  <conditionalFormatting sqref="A1382">
    <cfRule type="cellIs" dxfId="613" priority="913" stopIfTrue="1" operator="equal">
      <formula>"SINAPI"</formula>
    </cfRule>
  </conditionalFormatting>
  <conditionalFormatting sqref="B1314">
    <cfRule type="cellIs" dxfId="612" priority="946" stopIfTrue="1" operator="equal">
      <formula>"Cotação Balaroti"</formula>
    </cfRule>
  </conditionalFormatting>
  <conditionalFormatting sqref="A1314">
    <cfRule type="cellIs" dxfId="611" priority="947" stopIfTrue="1" operator="equal">
      <formula>"SINAPI"</formula>
    </cfRule>
  </conditionalFormatting>
  <conditionalFormatting sqref="B1339">
    <cfRule type="cellIs" dxfId="610" priority="944" stopIfTrue="1" operator="equal">
      <formula>"Cotação Balaroti"</formula>
    </cfRule>
  </conditionalFormatting>
  <conditionalFormatting sqref="A1389">
    <cfRule type="cellIs" dxfId="609" priority="911" stopIfTrue="1" operator="equal">
      <formula>"SINAPI"</formula>
    </cfRule>
  </conditionalFormatting>
  <conditionalFormatting sqref="B1390">
    <cfRule type="cellIs" dxfId="608" priority="904" stopIfTrue="1" operator="equal">
      <formula>"Cotação Balaroti"</formula>
    </cfRule>
  </conditionalFormatting>
  <conditionalFormatting sqref="A1390">
    <cfRule type="cellIs" dxfId="607" priority="907" stopIfTrue="1" operator="equal">
      <formula>"SINAPI"</formula>
    </cfRule>
  </conditionalFormatting>
  <conditionalFormatting sqref="A1349">
    <cfRule type="cellIs" dxfId="606" priority="939" stopIfTrue="1" operator="equal">
      <formula>"SINAPI"</formula>
    </cfRule>
  </conditionalFormatting>
  <conditionalFormatting sqref="B1349">
    <cfRule type="cellIs" dxfId="605" priority="938" stopIfTrue="1" operator="equal">
      <formula>"Cotação Balaroti"</formula>
    </cfRule>
  </conditionalFormatting>
  <conditionalFormatting sqref="A1353">
    <cfRule type="cellIs" dxfId="604" priority="937" stopIfTrue="1" operator="equal">
      <formula>"SINAPI"</formula>
    </cfRule>
  </conditionalFormatting>
  <conditionalFormatting sqref="B1353">
    <cfRule type="cellIs" dxfId="603" priority="936" stopIfTrue="1" operator="equal">
      <formula>"Cotação Balaroti"</formula>
    </cfRule>
  </conditionalFormatting>
  <conditionalFormatting sqref="B1354">
    <cfRule type="cellIs" dxfId="602" priority="934" stopIfTrue="1" operator="equal">
      <formula>"Cotação Balaroti"</formula>
    </cfRule>
  </conditionalFormatting>
  <conditionalFormatting sqref="A1354">
    <cfRule type="cellIs" dxfId="601" priority="935" stopIfTrue="1" operator="equal">
      <formula>"SINAPI"</formula>
    </cfRule>
  </conditionalFormatting>
  <conditionalFormatting sqref="A1357">
    <cfRule type="cellIs" dxfId="600" priority="933" stopIfTrue="1" operator="equal">
      <formula>"SINAPI"</formula>
    </cfRule>
  </conditionalFormatting>
  <conditionalFormatting sqref="B1357">
    <cfRule type="cellIs" dxfId="599" priority="932" stopIfTrue="1" operator="equal">
      <formula>"Cotação Balaroti"</formula>
    </cfRule>
  </conditionalFormatting>
  <conditionalFormatting sqref="B1358">
    <cfRule type="cellIs" dxfId="598" priority="930" stopIfTrue="1" operator="equal">
      <formula>"Cotação Balaroti"</formula>
    </cfRule>
  </conditionalFormatting>
  <conditionalFormatting sqref="A1358">
    <cfRule type="cellIs" dxfId="597" priority="931" stopIfTrue="1" operator="equal">
      <formula>"SINAPI"</formula>
    </cfRule>
  </conditionalFormatting>
  <conditionalFormatting sqref="A1361">
    <cfRule type="cellIs" dxfId="596" priority="929" stopIfTrue="1" operator="equal">
      <formula>"SINAPI"</formula>
    </cfRule>
  </conditionalFormatting>
  <conditionalFormatting sqref="B1361">
    <cfRule type="cellIs" dxfId="595" priority="928" stopIfTrue="1" operator="equal">
      <formula>"Cotação Balaroti"</formula>
    </cfRule>
  </conditionalFormatting>
  <conditionalFormatting sqref="B1362">
    <cfRule type="cellIs" dxfId="594" priority="926" stopIfTrue="1" operator="equal">
      <formula>"Cotação Balaroti"</formula>
    </cfRule>
  </conditionalFormatting>
  <conditionalFormatting sqref="A1362">
    <cfRule type="cellIs" dxfId="593" priority="927" stopIfTrue="1" operator="equal">
      <formula>"SINAPI"</formula>
    </cfRule>
  </conditionalFormatting>
  <conditionalFormatting sqref="A1404">
    <cfRule type="cellIs" dxfId="592" priority="887" stopIfTrue="1" operator="equal">
      <formula>"SINAPI"</formula>
    </cfRule>
  </conditionalFormatting>
  <conditionalFormatting sqref="B1365">
    <cfRule type="cellIs" dxfId="591" priority="924" stopIfTrue="1" operator="equal">
      <formula>"Cotação Balaroti"</formula>
    </cfRule>
  </conditionalFormatting>
  <conditionalFormatting sqref="A1366">
    <cfRule type="cellIs" dxfId="590" priority="923" stopIfTrue="1" operator="equal">
      <formula>"SINAPI"</formula>
    </cfRule>
  </conditionalFormatting>
  <conditionalFormatting sqref="B1403">
    <cfRule type="cellIs" dxfId="589" priority="888" stopIfTrue="1" operator="equal">
      <formula>"Cotação Balaroti"</formula>
    </cfRule>
  </conditionalFormatting>
  <conditionalFormatting sqref="B1369">
    <cfRule type="cellIs" dxfId="588" priority="920" stopIfTrue="1" operator="equal">
      <formula>"Cotação Balaroti"</formula>
    </cfRule>
  </conditionalFormatting>
  <conditionalFormatting sqref="B1399">
    <cfRule type="cellIs" dxfId="587" priority="895" stopIfTrue="1" operator="equal">
      <formula>"Cotação Balaroti"</formula>
    </cfRule>
  </conditionalFormatting>
  <conditionalFormatting sqref="A1399">
    <cfRule type="cellIs" dxfId="586" priority="896" stopIfTrue="1" operator="equal">
      <formula>"SINAPI"</formula>
    </cfRule>
  </conditionalFormatting>
  <conditionalFormatting sqref="B1401">
    <cfRule type="cellIs" dxfId="585" priority="890" stopIfTrue="1" operator="equal">
      <formula>"Cotação Balaroti"</formula>
    </cfRule>
  </conditionalFormatting>
  <conditionalFormatting sqref="B1391">
    <cfRule type="cellIs" dxfId="584" priority="905" stopIfTrue="1" operator="equal">
      <formula>"Cotação Balaroti"</formula>
    </cfRule>
  </conditionalFormatting>
  <conditionalFormatting sqref="A1395">
    <cfRule type="cellIs" dxfId="583" priority="903" stopIfTrue="1" operator="equal">
      <formula>"SINAPI"</formula>
    </cfRule>
  </conditionalFormatting>
  <conditionalFormatting sqref="B1402">
    <cfRule type="cellIs" dxfId="582" priority="891" stopIfTrue="1" operator="equal">
      <formula>"Cotação Balaroti"</formula>
    </cfRule>
  </conditionalFormatting>
  <conditionalFormatting sqref="A1391">
    <cfRule type="cellIs" dxfId="581" priority="906" stopIfTrue="1" operator="equal">
      <formula>"SINAPI"</formula>
    </cfRule>
  </conditionalFormatting>
  <conditionalFormatting sqref="B1400">
    <cfRule type="cellIs" dxfId="580" priority="894" stopIfTrue="1" operator="equal">
      <formula>"Cotação Balaroti"</formula>
    </cfRule>
  </conditionalFormatting>
  <conditionalFormatting sqref="B1396">
    <cfRule type="cellIs" dxfId="579" priority="898" stopIfTrue="1" operator="equal">
      <formula>"Cotação Balaroti"</formula>
    </cfRule>
  </conditionalFormatting>
  <conditionalFormatting sqref="B1395">
    <cfRule type="cellIs" dxfId="578" priority="900" stopIfTrue="1" operator="equal">
      <formula>"Cotação Balaroti"</formula>
    </cfRule>
  </conditionalFormatting>
  <conditionalFormatting sqref="B1394">
    <cfRule type="cellIs" dxfId="577" priority="901" stopIfTrue="1" operator="equal">
      <formula>"Cotação Balaroti"</formula>
    </cfRule>
  </conditionalFormatting>
  <conditionalFormatting sqref="A1396">
    <cfRule type="cellIs" dxfId="576" priority="899" stopIfTrue="1" operator="equal">
      <formula>"SINAPI"</formula>
    </cfRule>
  </conditionalFormatting>
  <conditionalFormatting sqref="A1394">
    <cfRule type="cellIs" dxfId="575" priority="902" stopIfTrue="1" operator="equal">
      <formula>"SINAPI"</formula>
    </cfRule>
  </conditionalFormatting>
  <conditionalFormatting sqref="A1400">
    <cfRule type="cellIs" dxfId="574" priority="897" stopIfTrue="1" operator="equal">
      <formula>"SINAPI"</formula>
    </cfRule>
  </conditionalFormatting>
  <conditionalFormatting sqref="A1401">
    <cfRule type="cellIs" dxfId="573" priority="893" stopIfTrue="1" operator="equal">
      <formula>"SINAPI"</formula>
    </cfRule>
  </conditionalFormatting>
  <conditionalFormatting sqref="A1402">
    <cfRule type="cellIs" dxfId="572" priority="892" stopIfTrue="1" operator="equal">
      <formula>"SINAPI"</formula>
    </cfRule>
  </conditionalFormatting>
  <conditionalFormatting sqref="A1403">
    <cfRule type="cellIs" dxfId="571" priority="889" stopIfTrue="1" operator="equal">
      <formula>"SINAPI"</formula>
    </cfRule>
  </conditionalFormatting>
  <conditionalFormatting sqref="B1450">
    <cfRule type="cellIs" dxfId="570" priority="870" stopIfTrue="1" operator="equal">
      <formula>"Cotação Balaroti"</formula>
    </cfRule>
  </conditionalFormatting>
  <conditionalFormatting sqref="A1449">
    <cfRule type="cellIs" dxfId="569" priority="873" stopIfTrue="1" operator="equal">
      <formula>"SINAPI"</formula>
    </cfRule>
  </conditionalFormatting>
  <conditionalFormatting sqref="B1449">
    <cfRule type="cellIs" dxfId="568" priority="872" stopIfTrue="1" operator="equal">
      <formula>"Cotação Balaroti"</formula>
    </cfRule>
  </conditionalFormatting>
  <conditionalFormatting sqref="A1450">
    <cfRule type="cellIs" dxfId="567" priority="871" stopIfTrue="1" operator="equal">
      <formula>"SINAPI"</formula>
    </cfRule>
  </conditionalFormatting>
  <conditionalFormatting sqref="B1457">
    <cfRule type="cellIs" dxfId="566" priority="868" stopIfTrue="1" operator="equal">
      <formula>"Cotação Balaroti"</formula>
    </cfRule>
  </conditionalFormatting>
  <conditionalFormatting sqref="A1457">
    <cfRule type="cellIs" dxfId="565" priority="869" stopIfTrue="1" operator="equal">
      <formula>"SINAPI"</formula>
    </cfRule>
  </conditionalFormatting>
  <conditionalFormatting sqref="B1462">
    <cfRule type="cellIs" dxfId="564" priority="866" stopIfTrue="1" operator="equal">
      <formula>"Cotação Balaroti"</formula>
    </cfRule>
  </conditionalFormatting>
  <conditionalFormatting sqref="A1462">
    <cfRule type="cellIs" dxfId="563" priority="867" stopIfTrue="1" operator="equal">
      <formula>"SINAPI"</formula>
    </cfRule>
  </conditionalFormatting>
  <conditionalFormatting sqref="A1480:A1485">
    <cfRule type="cellIs" dxfId="562" priority="858" stopIfTrue="1" operator="equal">
      <formula>"SINAPI"</formula>
    </cfRule>
  </conditionalFormatting>
  <conditionalFormatting sqref="B1481:B1485">
    <cfRule type="cellIs" dxfId="561" priority="857" stopIfTrue="1" operator="equal">
      <formula>"Cotação Balaroti"</formula>
    </cfRule>
  </conditionalFormatting>
  <conditionalFormatting sqref="A1477">
    <cfRule type="cellIs" dxfId="560" priority="865" stopIfTrue="1" operator="equal">
      <formula>"SINAPI"</formula>
    </cfRule>
  </conditionalFormatting>
  <conditionalFormatting sqref="B1469">
    <cfRule type="cellIs" dxfId="559" priority="863" stopIfTrue="1" operator="equal">
      <formula>"Cotação Balaroti"</formula>
    </cfRule>
  </conditionalFormatting>
  <conditionalFormatting sqref="B1479">
    <cfRule type="cellIs" dxfId="558" priority="859" stopIfTrue="1" operator="equal">
      <formula>"Cotação Balaroti"</formula>
    </cfRule>
  </conditionalFormatting>
  <conditionalFormatting sqref="A1469">
    <cfRule type="cellIs" dxfId="557" priority="864" stopIfTrue="1" operator="equal">
      <formula>"SINAPI"</formula>
    </cfRule>
  </conditionalFormatting>
  <conditionalFormatting sqref="B1470:B1472 B1474:B1476">
    <cfRule type="cellIs" dxfId="556" priority="861" stopIfTrue="1" operator="equal">
      <formula>"Cotação Balaroti"</formula>
    </cfRule>
  </conditionalFormatting>
  <conditionalFormatting sqref="B1494">
    <cfRule type="cellIs" dxfId="555" priority="848" stopIfTrue="1" operator="equal">
      <formula>"Cotação Balaroti"</formula>
    </cfRule>
  </conditionalFormatting>
  <conditionalFormatting sqref="A1479">
    <cfRule type="cellIs" dxfId="554" priority="860" stopIfTrue="1" operator="equal">
      <formula>"SINAPI"</formula>
    </cfRule>
  </conditionalFormatting>
  <conditionalFormatting sqref="B1490">
    <cfRule type="cellIs" dxfId="553" priority="854" stopIfTrue="1" operator="equal">
      <formula>"Cotação Balaroti"</formula>
    </cfRule>
  </conditionalFormatting>
  <conditionalFormatting sqref="A1470:A1472 A1474:A1476">
    <cfRule type="cellIs" dxfId="552" priority="862" stopIfTrue="1" operator="equal">
      <formula>"SINAPI"</formula>
    </cfRule>
  </conditionalFormatting>
  <conditionalFormatting sqref="B1480">
    <cfRule type="cellIs" dxfId="551" priority="856" stopIfTrue="1" operator="equal">
      <formula>"Cotação Balaroti"</formula>
    </cfRule>
  </conditionalFormatting>
  <conditionalFormatting sqref="A1489:A1490">
    <cfRule type="cellIs" dxfId="550" priority="855" stopIfTrue="1" operator="equal">
      <formula>"SINAPI"</formula>
    </cfRule>
  </conditionalFormatting>
  <conditionalFormatting sqref="B1489">
    <cfRule type="cellIs" dxfId="549" priority="853" stopIfTrue="1" operator="equal">
      <formula>"Cotação Balaroti"</formula>
    </cfRule>
  </conditionalFormatting>
  <conditionalFormatting sqref="A1493">
    <cfRule type="cellIs" dxfId="548" priority="847" stopIfTrue="1" operator="equal">
      <formula>"SINAPI"</formula>
    </cfRule>
  </conditionalFormatting>
  <conditionalFormatting sqref="A1488">
    <cfRule type="cellIs" dxfId="547" priority="852" stopIfTrue="1" operator="equal">
      <formula>"SINAPI"</formula>
    </cfRule>
  </conditionalFormatting>
  <conditionalFormatting sqref="B1488">
    <cfRule type="cellIs" dxfId="546" priority="851" stopIfTrue="1" operator="equal">
      <formula>"Cotação Balaroti"</formula>
    </cfRule>
  </conditionalFormatting>
  <conditionalFormatting sqref="B1495">
    <cfRule type="cellIs" dxfId="545" priority="849" stopIfTrue="1" operator="equal">
      <formula>"Cotação Balaroti"</formula>
    </cfRule>
  </conditionalFormatting>
  <conditionalFormatting sqref="A1494:A1495">
    <cfRule type="cellIs" dxfId="544" priority="850" stopIfTrue="1" operator="equal">
      <formula>"SINAPI"</formula>
    </cfRule>
  </conditionalFormatting>
  <conditionalFormatting sqref="B1493">
    <cfRule type="cellIs" dxfId="543" priority="846" stopIfTrue="1" operator="equal">
      <formula>"Cotação Balaroti"</formula>
    </cfRule>
  </conditionalFormatting>
  <conditionalFormatting sqref="B1497">
    <cfRule type="cellIs" dxfId="542" priority="844" stopIfTrue="1" operator="equal">
      <formula>"Cotação Balaroti"</formula>
    </cfRule>
  </conditionalFormatting>
  <conditionalFormatting sqref="A1497">
    <cfRule type="cellIs" dxfId="541" priority="845" stopIfTrue="1" operator="equal">
      <formula>"SINAPI"</formula>
    </cfRule>
  </conditionalFormatting>
  <conditionalFormatting sqref="B1496">
    <cfRule type="cellIs" dxfId="540" priority="842" stopIfTrue="1" operator="equal">
      <formula>"Cotação Balaroti"</formula>
    </cfRule>
  </conditionalFormatting>
  <conditionalFormatting sqref="A1496">
    <cfRule type="cellIs" dxfId="539" priority="843" stopIfTrue="1" operator="equal">
      <formula>"SINAPI"</formula>
    </cfRule>
  </conditionalFormatting>
  <conditionalFormatting sqref="B1473">
    <cfRule type="cellIs" dxfId="538" priority="840" stopIfTrue="1" operator="equal">
      <formula>"Cotação Balaroti"</formula>
    </cfRule>
  </conditionalFormatting>
  <conditionalFormatting sqref="A1473">
    <cfRule type="cellIs" dxfId="537" priority="841" stopIfTrue="1" operator="equal">
      <formula>"SINAPI"</formula>
    </cfRule>
  </conditionalFormatting>
  <conditionalFormatting sqref="A1512:A1517">
    <cfRule type="cellIs" dxfId="536" priority="832" stopIfTrue="1" operator="equal">
      <formula>"SINAPI"</formula>
    </cfRule>
  </conditionalFormatting>
  <conditionalFormatting sqref="B1513:B1517">
    <cfRule type="cellIs" dxfId="535" priority="831" stopIfTrue="1" operator="equal">
      <formula>"Cotação Balaroti"</formula>
    </cfRule>
  </conditionalFormatting>
  <conditionalFormatting sqref="A1509">
    <cfRule type="cellIs" dxfId="534" priority="839" stopIfTrue="1" operator="equal">
      <formula>"SINAPI"</formula>
    </cfRule>
  </conditionalFormatting>
  <conditionalFormatting sqref="B1501">
    <cfRule type="cellIs" dxfId="533" priority="837" stopIfTrue="1" operator="equal">
      <formula>"Cotação Balaroti"</formula>
    </cfRule>
  </conditionalFormatting>
  <conditionalFormatting sqref="B1511">
    <cfRule type="cellIs" dxfId="532" priority="833" stopIfTrue="1" operator="equal">
      <formula>"Cotação Balaroti"</formula>
    </cfRule>
  </conditionalFormatting>
  <conditionalFormatting sqref="A1501">
    <cfRule type="cellIs" dxfId="531" priority="838" stopIfTrue="1" operator="equal">
      <formula>"SINAPI"</formula>
    </cfRule>
  </conditionalFormatting>
  <conditionalFormatting sqref="B1502:B1504 B1506:B1508">
    <cfRule type="cellIs" dxfId="530" priority="835" stopIfTrue="1" operator="equal">
      <formula>"Cotação Balaroti"</formula>
    </cfRule>
  </conditionalFormatting>
  <conditionalFormatting sqref="B1526">
    <cfRule type="cellIs" dxfId="529" priority="822" stopIfTrue="1" operator="equal">
      <formula>"Cotação Balaroti"</formula>
    </cfRule>
  </conditionalFormatting>
  <conditionalFormatting sqref="A1511">
    <cfRule type="cellIs" dxfId="528" priority="834" stopIfTrue="1" operator="equal">
      <formula>"SINAPI"</formula>
    </cfRule>
  </conditionalFormatting>
  <conditionalFormatting sqref="B1522">
    <cfRule type="cellIs" dxfId="527" priority="828" stopIfTrue="1" operator="equal">
      <formula>"Cotação Balaroti"</formula>
    </cfRule>
  </conditionalFormatting>
  <conditionalFormatting sqref="A1502:A1504 A1506:A1508">
    <cfRule type="cellIs" dxfId="526" priority="836" stopIfTrue="1" operator="equal">
      <formula>"SINAPI"</formula>
    </cfRule>
  </conditionalFormatting>
  <conditionalFormatting sqref="B1512">
    <cfRule type="cellIs" dxfId="525" priority="830" stopIfTrue="1" operator="equal">
      <formula>"Cotação Balaroti"</formula>
    </cfRule>
  </conditionalFormatting>
  <conditionalFormatting sqref="A1521:A1522">
    <cfRule type="cellIs" dxfId="524" priority="829" stopIfTrue="1" operator="equal">
      <formula>"SINAPI"</formula>
    </cfRule>
  </conditionalFormatting>
  <conditionalFormatting sqref="B1521">
    <cfRule type="cellIs" dxfId="523" priority="827" stopIfTrue="1" operator="equal">
      <formula>"Cotação Balaroti"</formula>
    </cfRule>
  </conditionalFormatting>
  <conditionalFormatting sqref="A1525">
    <cfRule type="cellIs" dxfId="522" priority="821" stopIfTrue="1" operator="equal">
      <formula>"SINAPI"</formula>
    </cfRule>
  </conditionalFormatting>
  <conditionalFormatting sqref="A1520">
    <cfRule type="cellIs" dxfId="521" priority="826" stopIfTrue="1" operator="equal">
      <formula>"SINAPI"</formula>
    </cfRule>
  </conditionalFormatting>
  <conditionalFormatting sqref="B1520">
    <cfRule type="cellIs" dxfId="520" priority="825" stopIfTrue="1" operator="equal">
      <formula>"Cotação Balaroti"</formula>
    </cfRule>
  </conditionalFormatting>
  <conditionalFormatting sqref="B1527">
    <cfRule type="cellIs" dxfId="519" priority="823" stopIfTrue="1" operator="equal">
      <formula>"Cotação Balaroti"</formula>
    </cfRule>
  </conditionalFormatting>
  <conditionalFormatting sqref="A1526:A1527">
    <cfRule type="cellIs" dxfId="518" priority="824" stopIfTrue="1" operator="equal">
      <formula>"SINAPI"</formula>
    </cfRule>
  </conditionalFormatting>
  <conditionalFormatting sqref="B1525">
    <cfRule type="cellIs" dxfId="517" priority="820" stopIfTrue="1" operator="equal">
      <formula>"Cotação Balaroti"</formula>
    </cfRule>
  </conditionalFormatting>
  <conditionalFormatting sqref="B1529">
    <cfRule type="cellIs" dxfId="516" priority="818" stopIfTrue="1" operator="equal">
      <formula>"Cotação Balaroti"</formula>
    </cfRule>
  </conditionalFormatting>
  <conditionalFormatting sqref="A1529">
    <cfRule type="cellIs" dxfId="515" priority="819" stopIfTrue="1" operator="equal">
      <formula>"SINAPI"</formula>
    </cfRule>
  </conditionalFormatting>
  <conditionalFormatting sqref="B1528">
    <cfRule type="cellIs" dxfId="514" priority="816" stopIfTrue="1" operator="equal">
      <formula>"Cotação Balaroti"</formula>
    </cfRule>
  </conditionalFormatting>
  <conditionalFormatting sqref="A1528">
    <cfRule type="cellIs" dxfId="513" priority="817" stopIfTrue="1" operator="equal">
      <formula>"SINAPI"</formula>
    </cfRule>
  </conditionalFormatting>
  <conditionalFormatting sqref="B1505">
    <cfRule type="cellIs" dxfId="512" priority="814" stopIfTrue="1" operator="equal">
      <formula>"Cotação Balaroti"</formula>
    </cfRule>
  </conditionalFormatting>
  <conditionalFormatting sqref="A1505">
    <cfRule type="cellIs" dxfId="511" priority="815" stopIfTrue="1" operator="equal">
      <formula>"SINAPI"</formula>
    </cfRule>
  </conditionalFormatting>
  <conditionalFormatting sqref="A1544:A1549">
    <cfRule type="cellIs" dxfId="510" priority="806" stopIfTrue="1" operator="equal">
      <formula>"SINAPI"</formula>
    </cfRule>
  </conditionalFormatting>
  <conditionalFormatting sqref="B1545:B1549">
    <cfRule type="cellIs" dxfId="509" priority="805" stopIfTrue="1" operator="equal">
      <formula>"Cotação Balaroti"</formula>
    </cfRule>
  </conditionalFormatting>
  <conditionalFormatting sqref="A1541">
    <cfRule type="cellIs" dxfId="508" priority="813" stopIfTrue="1" operator="equal">
      <formula>"SINAPI"</formula>
    </cfRule>
  </conditionalFormatting>
  <conditionalFormatting sqref="B1533">
    <cfRule type="cellIs" dxfId="507" priority="811" stopIfTrue="1" operator="equal">
      <formula>"Cotação Balaroti"</formula>
    </cfRule>
  </conditionalFormatting>
  <conditionalFormatting sqref="B1543">
    <cfRule type="cellIs" dxfId="506" priority="807" stopIfTrue="1" operator="equal">
      <formula>"Cotação Balaroti"</formula>
    </cfRule>
  </conditionalFormatting>
  <conditionalFormatting sqref="A1533">
    <cfRule type="cellIs" dxfId="505" priority="812" stopIfTrue="1" operator="equal">
      <formula>"SINAPI"</formula>
    </cfRule>
  </conditionalFormatting>
  <conditionalFormatting sqref="B1534:B1536 B1538:B1540">
    <cfRule type="cellIs" dxfId="504" priority="809" stopIfTrue="1" operator="equal">
      <formula>"Cotação Balaroti"</formula>
    </cfRule>
  </conditionalFormatting>
  <conditionalFormatting sqref="B1558">
    <cfRule type="cellIs" dxfId="503" priority="796" stopIfTrue="1" operator="equal">
      <formula>"Cotação Balaroti"</formula>
    </cfRule>
  </conditionalFormatting>
  <conditionalFormatting sqref="A1543">
    <cfRule type="cellIs" dxfId="502" priority="808" stopIfTrue="1" operator="equal">
      <formula>"SINAPI"</formula>
    </cfRule>
  </conditionalFormatting>
  <conditionalFormatting sqref="B1554">
    <cfRule type="cellIs" dxfId="501" priority="802" stopIfTrue="1" operator="equal">
      <formula>"Cotação Balaroti"</formula>
    </cfRule>
  </conditionalFormatting>
  <conditionalFormatting sqref="A1534:A1536 A1538:A1540">
    <cfRule type="cellIs" dxfId="500" priority="810" stopIfTrue="1" operator="equal">
      <formula>"SINAPI"</formula>
    </cfRule>
  </conditionalFormatting>
  <conditionalFormatting sqref="B1544">
    <cfRule type="cellIs" dxfId="499" priority="804" stopIfTrue="1" operator="equal">
      <formula>"Cotação Balaroti"</formula>
    </cfRule>
  </conditionalFormatting>
  <conditionalFormatting sqref="A1553:A1554">
    <cfRule type="cellIs" dxfId="498" priority="803" stopIfTrue="1" operator="equal">
      <formula>"SINAPI"</formula>
    </cfRule>
  </conditionalFormatting>
  <conditionalFormatting sqref="B1553">
    <cfRule type="cellIs" dxfId="497" priority="801" stopIfTrue="1" operator="equal">
      <formula>"Cotação Balaroti"</formula>
    </cfRule>
  </conditionalFormatting>
  <conditionalFormatting sqref="A1557">
    <cfRule type="cellIs" dxfId="496" priority="795" stopIfTrue="1" operator="equal">
      <formula>"SINAPI"</formula>
    </cfRule>
  </conditionalFormatting>
  <conditionalFormatting sqref="A1552">
    <cfRule type="cellIs" dxfId="495" priority="800" stopIfTrue="1" operator="equal">
      <formula>"SINAPI"</formula>
    </cfRule>
  </conditionalFormatting>
  <conditionalFormatting sqref="B1552">
    <cfRule type="cellIs" dxfId="494" priority="799" stopIfTrue="1" operator="equal">
      <formula>"Cotação Balaroti"</formula>
    </cfRule>
  </conditionalFormatting>
  <conditionalFormatting sqref="B1559">
    <cfRule type="cellIs" dxfId="493" priority="797" stopIfTrue="1" operator="equal">
      <formula>"Cotação Balaroti"</formula>
    </cfRule>
  </conditionalFormatting>
  <conditionalFormatting sqref="A1558:A1559">
    <cfRule type="cellIs" dxfId="492" priority="798" stopIfTrue="1" operator="equal">
      <formula>"SINAPI"</formula>
    </cfRule>
  </conditionalFormatting>
  <conditionalFormatting sqref="B1557">
    <cfRule type="cellIs" dxfId="491" priority="794" stopIfTrue="1" operator="equal">
      <formula>"Cotação Balaroti"</formula>
    </cfRule>
  </conditionalFormatting>
  <conditionalFormatting sqref="B1561">
    <cfRule type="cellIs" dxfId="490" priority="792" stopIfTrue="1" operator="equal">
      <formula>"Cotação Balaroti"</formula>
    </cfRule>
  </conditionalFormatting>
  <conditionalFormatting sqref="A1561">
    <cfRule type="cellIs" dxfId="489" priority="793" stopIfTrue="1" operator="equal">
      <formula>"SINAPI"</formula>
    </cfRule>
  </conditionalFormatting>
  <conditionalFormatting sqref="B1560">
    <cfRule type="cellIs" dxfId="488" priority="790" stopIfTrue="1" operator="equal">
      <formula>"Cotação Balaroti"</formula>
    </cfRule>
  </conditionalFormatting>
  <conditionalFormatting sqref="A1560">
    <cfRule type="cellIs" dxfId="487" priority="791" stopIfTrue="1" operator="equal">
      <formula>"SINAPI"</formula>
    </cfRule>
  </conditionalFormatting>
  <conditionalFormatting sqref="B1537">
    <cfRule type="cellIs" dxfId="486" priority="788" stopIfTrue="1" operator="equal">
      <formula>"Cotação Balaroti"</formula>
    </cfRule>
  </conditionalFormatting>
  <conditionalFormatting sqref="A1537">
    <cfRule type="cellIs" dxfId="485" priority="789" stopIfTrue="1" operator="equal">
      <formula>"SINAPI"</formula>
    </cfRule>
  </conditionalFormatting>
  <conditionalFormatting sqref="A1570">
    <cfRule type="cellIs" dxfId="484" priority="787" stopIfTrue="1" operator="equal">
      <formula>"SINAPI"</formula>
    </cfRule>
  </conditionalFormatting>
  <conditionalFormatting sqref="A1568">
    <cfRule type="cellIs" dxfId="483" priority="784" stopIfTrue="1" operator="equal">
      <formula>"SINAPI"</formula>
    </cfRule>
  </conditionalFormatting>
  <conditionalFormatting sqref="B1570">
    <cfRule type="cellIs" dxfId="482" priority="785" stopIfTrue="1" operator="equal">
      <formula>"Cotação Balaroti"</formula>
    </cfRule>
  </conditionalFormatting>
  <conditionalFormatting sqref="B1571">
    <cfRule type="cellIs" dxfId="481" priority="782" stopIfTrue="1" operator="equal">
      <formula>"Cotação Balaroti"</formula>
    </cfRule>
  </conditionalFormatting>
  <conditionalFormatting sqref="A1571">
    <cfRule type="cellIs" dxfId="480" priority="783" stopIfTrue="1" operator="equal">
      <formula>"SINAPI"</formula>
    </cfRule>
  </conditionalFormatting>
  <conditionalFormatting sqref="A1569">
    <cfRule type="cellIs" dxfId="479" priority="786" stopIfTrue="1" operator="equal">
      <formula>"SINAPI"</formula>
    </cfRule>
  </conditionalFormatting>
  <conditionalFormatting sqref="B1568">
    <cfRule type="cellIs" dxfId="478" priority="781" stopIfTrue="1" operator="equal">
      <formula>"Cotação Balaroti"</formula>
    </cfRule>
  </conditionalFormatting>
  <conditionalFormatting sqref="B1569">
    <cfRule type="cellIs" dxfId="477" priority="780" stopIfTrue="1" operator="equal">
      <formula>"Cotação Balaroti"</formula>
    </cfRule>
  </conditionalFormatting>
  <conditionalFormatting sqref="A1579">
    <cfRule type="cellIs" dxfId="476" priority="779" stopIfTrue="1" operator="equal">
      <formula>"SINAPI"</formula>
    </cfRule>
  </conditionalFormatting>
  <conditionalFormatting sqref="B1579">
    <cfRule type="cellIs" dxfId="475" priority="777" stopIfTrue="1" operator="equal">
      <formula>"Cotação Balaroti"</formula>
    </cfRule>
  </conditionalFormatting>
  <conditionalFormatting sqref="B1581">
    <cfRule type="cellIs" dxfId="474" priority="774" stopIfTrue="1" operator="equal">
      <formula>"Cotação Balaroti"</formula>
    </cfRule>
  </conditionalFormatting>
  <conditionalFormatting sqref="A1581">
    <cfRule type="cellIs" dxfId="473" priority="775" stopIfTrue="1" operator="equal">
      <formula>"SINAPI"</formula>
    </cfRule>
  </conditionalFormatting>
  <conditionalFormatting sqref="B1578">
    <cfRule type="cellIs" dxfId="472" priority="768" stopIfTrue="1" operator="equal">
      <formula>"Cotação Balaroti"</formula>
    </cfRule>
  </conditionalFormatting>
  <conditionalFormatting sqref="A1577">
    <cfRule type="cellIs" dxfId="471" priority="771" stopIfTrue="1" operator="equal">
      <formula>"SINAPI"</formula>
    </cfRule>
  </conditionalFormatting>
  <conditionalFormatting sqref="B1577">
    <cfRule type="cellIs" dxfId="470" priority="770" stopIfTrue="1" operator="equal">
      <formula>"Cotação Balaroti"</formula>
    </cfRule>
  </conditionalFormatting>
  <conditionalFormatting sqref="A1578">
    <cfRule type="cellIs" dxfId="469" priority="769" stopIfTrue="1" operator="equal">
      <formula>"SINAPI"</formula>
    </cfRule>
  </conditionalFormatting>
  <conditionalFormatting sqref="B1586">
    <cfRule type="cellIs" dxfId="468" priority="758" stopIfTrue="1" operator="equal">
      <formula>"Cotação Balaroti"</formula>
    </cfRule>
  </conditionalFormatting>
  <conditionalFormatting sqref="B1580">
    <cfRule type="cellIs" dxfId="467" priority="766" stopIfTrue="1" operator="equal">
      <formula>"Cotação Balaroti"</formula>
    </cfRule>
  </conditionalFormatting>
  <conditionalFormatting sqref="A1580">
    <cfRule type="cellIs" dxfId="466" priority="767" stopIfTrue="1" operator="equal">
      <formula>"SINAPI"</formula>
    </cfRule>
  </conditionalFormatting>
  <conditionalFormatting sqref="A1587">
    <cfRule type="cellIs" dxfId="465" priority="765" stopIfTrue="1" operator="equal">
      <formula>"SINAPI"</formula>
    </cfRule>
  </conditionalFormatting>
  <conditionalFormatting sqref="B1587">
    <cfRule type="cellIs" dxfId="464" priority="764" stopIfTrue="1" operator="equal">
      <formula>"Cotação Balaroti"</formula>
    </cfRule>
  </conditionalFormatting>
  <conditionalFormatting sqref="B1589">
    <cfRule type="cellIs" dxfId="463" priority="762" stopIfTrue="1" operator="equal">
      <formula>"Cotação Balaroti"</formula>
    </cfRule>
  </conditionalFormatting>
  <conditionalFormatting sqref="A1589">
    <cfRule type="cellIs" dxfId="462" priority="763" stopIfTrue="1" operator="equal">
      <formula>"SINAPI"</formula>
    </cfRule>
  </conditionalFormatting>
  <conditionalFormatting sqref="A1585">
    <cfRule type="cellIs" dxfId="461" priority="761" stopIfTrue="1" operator="equal">
      <formula>"SINAPI"</formula>
    </cfRule>
  </conditionalFormatting>
  <conditionalFormatting sqref="B1585">
    <cfRule type="cellIs" dxfId="460" priority="760" stopIfTrue="1" operator="equal">
      <formula>"Cotação Balaroti"</formula>
    </cfRule>
  </conditionalFormatting>
  <conditionalFormatting sqref="A1586">
    <cfRule type="cellIs" dxfId="459" priority="759" stopIfTrue="1" operator="equal">
      <formula>"SINAPI"</formula>
    </cfRule>
  </conditionalFormatting>
  <conditionalFormatting sqref="B1588">
    <cfRule type="cellIs" dxfId="458" priority="756" stopIfTrue="1" operator="equal">
      <formula>"Cotação Balaroti"</formula>
    </cfRule>
  </conditionalFormatting>
  <conditionalFormatting sqref="A1588">
    <cfRule type="cellIs" dxfId="457" priority="757" stopIfTrue="1" operator="equal">
      <formula>"SINAPI"</formula>
    </cfRule>
  </conditionalFormatting>
  <conditionalFormatting sqref="B1632">
    <cfRule type="cellIs" dxfId="456" priority="714" stopIfTrue="1" operator="equal">
      <formula>"Cotação Balaroti"</formula>
    </cfRule>
  </conditionalFormatting>
  <conditionalFormatting sqref="A1597">
    <cfRule type="cellIs" dxfId="455" priority="755" stopIfTrue="1" operator="equal">
      <formula>"SINAPI"</formula>
    </cfRule>
  </conditionalFormatting>
  <conditionalFormatting sqref="B1597">
    <cfRule type="cellIs" dxfId="454" priority="754" stopIfTrue="1" operator="equal">
      <formula>"Cotação Balaroti"</formula>
    </cfRule>
  </conditionalFormatting>
  <conditionalFormatting sqref="B1619">
    <cfRule type="cellIs" dxfId="453" priority="724" stopIfTrue="1" operator="equal">
      <formula>"Cotação Balaroti"</formula>
    </cfRule>
  </conditionalFormatting>
  <conditionalFormatting sqref="A1596">
    <cfRule type="cellIs" dxfId="452" priority="751" stopIfTrue="1" operator="equal">
      <formula>"SINAPI"</formula>
    </cfRule>
  </conditionalFormatting>
  <conditionalFormatting sqref="B1596">
    <cfRule type="cellIs" dxfId="451" priority="750" stopIfTrue="1" operator="equal">
      <formula>"Cotação Balaroti"</formula>
    </cfRule>
  </conditionalFormatting>
  <conditionalFormatting sqref="B1595">
    <cfRule type="cellIs" dxfId="450" priority="746" stopIfTrue="1" operator="equal">
      <formula>"Cotação Balaroti"</formula>
    </cfRule>
  </conditionalFormatting>
  <conditionalFormatting sqref="A1595">
    <cfRule type="cellIs" dxfId="449" priority="747" stopIfTrue="1" operator="equal">
      <formula>"SINAPI"</formula>
    </cfRule>
  </conditionalFormatting>
  <conditionalFormatting sqref="A1602">
    <cfRule type="cellIs" dxfId="448" priority="745" stopIfTrue="1" operator="equal">
      <formula>"SINAPI"</formula>
    </cfRule>
  </conditionalFormatting>
  <conditionalFormatting sqref="B1602">
    <cfRule type="cellIs" dxfId="447" priority="744" stopIfTrue="1" operator="equal">
      <formula>"Cotação Balaroti"</formula>
    </cfRule>
  </conditionalFormatting>
  <conditionalFormatting sqref="A1601">
    <cfRule type="cellIs" dxfId="446" priority="743" stopIfTrue="1" operator="equal">
      <formula>"SINAPI"</formula>
    </cfRule>
  </conditionalFormatting>
  <conditionalFormatting sqref="B1601">
    <cfRule type="cellIs" dxfId="445" priority="742" stopIfTrue="1" operator="equal">
      <formula>"Cotação Balaroti"</formula>
    </cfRule>
  </conditionalFormatting>
  <conditionalFormatting sqref="B1600">
    <cfRule type="cellIs" dxfId="444" priority="740" stopIfTrue="1" operator="equal">
      <formula>"Cotação Balaroti"</formula>
    </cfRule>
  </conditionalFormatting>
  <conditionalFormatting sqref="A1600">
    <cfRule type="cellIs" dxfId="443" priority="741" stopIfTrue="1" operator="equal">
      <formula>"SINAPI"</formula>
    </cfRule>
  </conditionalFormatting>
  <conditionalFormatting sqref="A1607 A1609">
    <cfRule type="cellIs" dxfId="442" priority="739" stopIfTrue="1" operator="equal">
      <formula>"SINAPI"</formula>
    </cfRule>
  </conditionalFormatting>
  <conditionalFormatting sqref="B1607 B1609">
    <cfRule type="cellIs" dxfId="441" priority="738" stopIfTrue="1" operator="equal">
      <formula>"Cotação Balaroti"</formula>
    </cfRule>
  </conditionalFormatting>
  <conditionalFormatting sqref="A1613:A1615">
    <cfRule type="cellIs" dxfId="440" priority="737" stopIfTrue="1" operator="equal">
      <formula>"SINAPI"</formula>
    </cfRule>
  </conditionalFormatting>
  <conditionalFormatting sqref="B1615">
    <cfRule type="cellIs" dxfId="439" priority="736" stopIfTrue="1" operator="equal">
      <formula>"Cotação Balaroti"</formula>
    </cfRule>
  </conditionalFormatting>
  <conditionalFormatting sqref="A1619:A1620">
    <cfRule type="cellIs" dxfId="438" priority="735" stopIfTrue="1" operator="equal">
      <formula>"SINAPI"</formula>
    </cfRule>
  </conditionalFormatting>
  <conditionalFormatting sqref="B1620">
    <cfRule type="cellIs" dxfId="437" priority="734" stopIfTrue="1" operator="equal">
      <formula>"Cotação Balaroti"</formula>
    </cfRule>
  </conditionalFormatting>
  <conditionalFormatting sqref="A1626">
    <cfRule type="cellIs" dxfId="436" priority="733" stopIfTrue="1" operator="equal">
      <formula>"SINAPI"</formula>
    </cfRule>
  </conditionalFormatting>
  <conditionalFormatting sqref="B1626">
    <cfRule type="cellIs" dxfId="435" priority="732" stopIfTrue="1" operator="equal">
      <formula>"Cotação Balaroti"</formula>
    </cfRule>
  </conditionalFormatting>
  <conditionalFormatting sqref="A1608">
    <cfRule type="cellIs" dxfId="434" priority="731" stopIfTrue="1" operator="equal">
      <formula>"SINAPI"</formula>
    </cfRule>
  </conditionalFormatting>
  <conditionalFormatting sqref="B1608">
    <cfRule type="cellIs" dxfId="433" priority="730" stopIfTrue="1" operator="equal">
      <formula>"Cotação Balaroti"</formula>
    </cfRule>
  </conditionalFormatting>
  <conditionalFormatting sqref="A1612">
    <cfRule type="cellIs" dxfId="432" priority="729" stopIfTrue="1" operator="equal">
      <formula>"SINAPI"</formula>
    </cfRule>
  </conditionalFormatting>
  <conditionalFormatting sqref="B1612">
    <cfRule type="cellIs" dxfId="431" priority="728" stopIfTrue="1" operator="equal">
      <formula>"Cotação Balaroti"</formula>
    </cfRule>
  </conditionalFormatting>
  <conditionalFormatting sqref="A1618">
    <cfRule type="cellIs" dxfId="430" priority="727" stopIfTrue="1" operator="equal">
      <formula>"SINAPI"</formula>
    </cfRule>
  </conditionalFormatting>
  <conditionalFormatting sqref="B1618">
    <cfRule type="cellIs" dxfId="429" priority="726" stopIfTrue="1" operator="equal">
      <formula>"Cotação Balaroti"</formula>
    </cfRule>
  </conditionalFormatting>
  <conditionalFormatting sqref="B1613:B1614">
    <cfRule type="cellIs" dxfId="428" priority="725" stopIfTrue="1" operator="equal">
      <formula>"Cotação Balaroti"</formula>
    </cfRule>
  </conditionalFormatting>
  <conditionalFormatting sqref="A1625">
    <cfRule type="cellIs" dxfId="427" priority="723" stopIfTrue="1" operator="equal">
      <formula>"SINAPI"</formula>
    </cfRule>
  </conditionalFormatting>
  <conditionalFormatting sqref="B1625">
    <cfRule type="cellIs" dxfId="426" priority="722" stopIfTrue="1" operator="equal">
      <formula>"Cotação Balaroti"</formula>
    </cfRule>
  </conditionalFormatting>
  <conditionalFormatting sqref="A1638">
    <cfRule type="cellIs" dxfId="425" priority="709" stopIfTrue="1" operator="equal">
      <formula>"SINAPI"</formula>
    </cfRule>
  </conditionalFormatting>
  <conditionalFormatting sqref="B1638">
    <cfRule type="cellIs" dxfId="424" priority="708" stopIfTrue="1" operator="equal">
      <formula>"Cotação Balaroti"</formula>
    </cfRule>
  </conditionalFormatting>
  <conditionalFormatting sqref="A1633">
    <cfRule type="cellIs" dxfId="423" priority="713" stopIfTrue="1" operator="equal">
      <formula>"SINAPI"</formula>
    </cfRule>
  </conditionalFormatting>
  <conditionalFormatting sqref="B1633">
    <cfRule type="cellIs" dxfId="422" priority="712" stopIfTrue="1" operator="equal">
      <formula>"Cotação Balaroti"</formula>
    </cfRule>
  </conditionalFormatting>
  <conditionalFormatting sqref="B1631">
    <cfRule type="cellIs" dxfId="421" priority="715" stopIfTrue="1" operator="equal">
      <formula>"Cotação Balaroti"</formula>
    </cfRule>
  </conditionalFormatting>
  <conditionalFormatting sqref="A1632">
    <cfRule type="cellIs" dxfId="420" priority="717" stopIfTrue="1" operator="equal">
      <formula>"SINAPI"</formula>
    </cfRule>
  </conditionalFormatting>
  <conditionalFormatting sqref="A1631">
    <cfRule type="cellIs" dxfId="419" priority="716" stopIfTrue="1" operator="equal">
      <formula>"SINAPI"</formula>
    </cfRule>
  </conditionalFormatting>
  <conditionalFormatting sqref="B1640">
    <cfRule type="cellIs" dxfId="418" priority="710" stopIfTrue="1" operator="equal">
      <formula>"Cotação Balaroti"</formula>
    </cfRule>
  </conditionalFormatting>
  <conditionalFormatting sqref="A1640">
    <cfRule type="cellIs" dxfId="417" priority="711" stopIfTrue="1" operator="equal">
      <formula>"SINAPI"</formula>
    </cfRule>
  </conditionalFormatting>
  <conditionalFormatting sqref="B1639">
    <cfRule type="cellIs" dxfId="416" priority="706" stopIfTrue="1" operator="equal">
      <formula>"Cotação Balaroti"</formula>
    </cfRule>
  </conditionalFormatting>
  <conditionalFormatting sqref="A1639">
    <cfRule type="cellIs" dxfId="415" priority="707" stopIfTrue="1" operator="equal">
      <formula>"SINAPI"</formula>
    </cfRule>
  </conditionalFormatting>
  <conditionalFormatting sqref="A1423">
    <cfRule type="cellIs" dxfId="414" priority="703" stopIfTrue="1" operator="equal">
      <formula>"SINAPI"</formula>
    </cfRule>
  </conditionalFormatting>
  <conditionalFormatting sqref="B1423">
    <cfRule type="cellIs" dxfId="413" priority="702" stopIfTrue="1" operator="equal">
      <formula>"SINAPI"</formula>
    </cfRule>
  </conditionalFormatting>
  <conditionalFormatting sqref="A1412">
    <cfRule type="cellIs" dxfId="412" priority="690" stopIfTrue="1" operator="equal">
      <formula>"SINAPI"</formula>
    </cfRule>
  </conditionalFormatting>
  <conditionalFormatting sqref="A1413">
    <cfRule type="cellIs" dxfId="411" priority="689" stopIfTrue="1" operator="equal">
      <formula>"SINAPI"</formula>
    </cfRule>
  </conditionalFormatting>
  <conditionalFormatting sqref="B1416">
    <cfRule type="cellIs" dxfId="410" priority="687" stopIfTrue="1" operator="equal">
      <formula>"Cotação Balaroti"</formula>
    </cfRule>
  </conditionalFormatting>
  <conditionalFormatting sqref="A1416">
    <cfRule type="cellIs" dxfId="409" priority="688" stopIfTrue="1" operator="equal">
      <formula>"SINAPI"</formula>
    </cfRule>
  </conditionalFormatting>
  <conditionalFormatting sqref="A1414">
    <cfRule type="cellIs" dxfId="408" priority="686" stopIfTrue="1" operator="equal">
      <formula>"SINAPI"</formula>
    </cfRule>
  </conditionalFormatting>
  <conditionalFormatting sqref="A1415">
    <cfRule type="cellIs" dxfId="407" priority="685" stopIfTrue="1" operator="equal">
      <formula>"SINAPI"</formula>
    </cfRule>
  </conditionalFormatting>
  <conditionalFormatting sqref="B1412:B1415">
    <cfRule type="cellIs" dxfId="406" priority="684" stopIfTrue="1" operator="equal">
      <formula>"Cotação Balaroti"</formula>
    </cfRule>
  </conditionalFormatting>
  <conditionalFormatting sqref="B1417">
    <cfRule type="cellIs" dxfId="405" priority="682" stopIfTrue="1" operator="equal">
      <formula>"Cotação Balaroti"</formula>
    </cfRule>
  </conditionalFormatting>
  <conditionalFormatting sqref="A1417">
    <cfRule type="cellIs" dxfId="404" priority="683" stopIfTrue="1" operator="equal">
      <formula>"SINAPI"</formula>
    </cfRule>
  </conditionalFormatting>
  <conditionalFormatting sqref="A1411">
    <cfRule type="cellIs" dxfId="403" priority="681" stopIfTrue="1" operator="equal">
      <formula>"SINAPI"</formula>
    </cfRule>
  </conditionalFormatting>
  <conditionalFormatting sqref="B1411">
    <cfRule type="cellIs" dxfId="402" priority="680" stopIfTrue="1" operator="equal">
      <formula>"Cotação Balaroti"</formula>
    </cfRule>
  </conditionalFormatting>
  <conditionalFormatting sqref="A1418:A1422">
    <cfRule type="cellIs" dxfId="401" priority="679" stopIfTrue="1" operator="equal">
      <formula>"SINAPI"</formula>
    </cfRule>
  </conditionalFormatting>
  <conditionalFormatting sqref="B1418:B1422">
    <cfRule type="cellIs" dxfId="400" priority="678" stopIfTrue="1" operator="equal">
      <formula>"Cotação Balaroti"</formula>
    </cfRule>
  </conditionalFormatting>
  <conditionalFormatting sqref="B1440">
    <cfRule type="cellIs" dxfId="399" priority="675" stopIfTrue="1" operator="equal">
      <formula>"Cotação Balaroti"</formula>
    </cfRule>
  </conditionalFormatting>
  <conditionalFormatting sqref="A1440">
    <cfRule type="cellIs" dxfId="398" priority="674" stopIfTrue="1" operator="equal">
      <formula>"SINAPI"</formula>
    </cfRule>
  </conditionalFormatting>
  <conditionalFormatting sqref="A1437">
    <cfRule type="cellIs" dxfId="397" priority="658" stopIfTrue="1" operator="equal">
      <formula>"SINAPI"</formula>
    </cfRule>
  </conditionalFormatting>
  <conditionalFormatting sqref="B1437">
    <cfRule type="cellIs" dxfId="396" priority="657" stopIfTrue="1" operator="equal">
      <formula>"SINAPI"</formula>
    </cfRule>
  </conditionalFormatting>
  <conditionalFormatting sqref="A1426">
    <cfRule type="cellIs" dxfId="395" priority="656" stopIfTrue="1" operator="equal">
      <formula>"SINAPI"</formula>
    </cfRule>
  </conditionalFormatting>
  <conditionalFormatting sqref="A1427">
    <cfRule type="cellIs" dxfId="394" priority="655" stopIfTrue="1" operator="equal">
      <formula>"SINAPI"</formula>
    </cfRule>
  </conditionalFormatting>
  <conditionalFormatting sqref="B1430">
    <cfRule type="cellIs" dxfId="393" priority="653" stopIfTrue="1" operator="equal">
      <formula>"Cotação Balaroti"</formula>
    </cfRule>
  </conditionalFormatting>
  <conditionalFormatting sqref="A1430">
    <cfRule type="cellIs" dxfId="392" priority="654" stopIfTrue="1" operator="equal">
      <formula>"SINAPI"</formula>
    </cfRule>
  </conditionalFormatting>
  <conditionalFormatting sqref="A1428">
    <cfRule type="cellIs" dxfId="391" priority="652" stopIfTrue="1" operator="equal">
      <formula>"SINAPI"</formula>
    </cfRule>
  </conditionalFormatting>
  <conditionalFormatting sqref="A1429">
    <cfRule type="cellIs" dxfId="390" priority="651" stopIfTrue="1" operator="equal">
      <formula>"SINAPI"</formula>
    </cfRule>
  </conditionalFormatting>
  <conditionalFormatting sqref="B1426:B1429">
    <cfRule type="cellIs" dxfId="389" priority="650" stopIfTrue="1" operator="equal">
      <formula>"Cotação Balaroti"</formula>
    </cfRule>
  </conditionalFormatting>
  <conditionalFormatting sqref="B1431">
    <cfRule type="cellIs" dxfId="388" priority="648" stopIfTrue="1" operator="equal">
      <formula>"Cotação Balaroti"</formula>
    </cfRule>
  </conditionalFormatting>
  <conditionalFormatting sqref="A1431">
    <cfRule type="cellIs" dxfId="387" priority="649" stopIfTrue="1" operator="equal">
      <formula>"SINAPI"</formula>
    </cfRule>
  </conditionalFormatting>
  <conditionalFormatting sqref="A1425">
    <cfRule type="cellIs" dxfId="386" priority="647" stopIfTrue="1" operator="equal">
      <formula>"SINAPI"</formula>
    </cfRule>
  </conditionalFormatting>
  <conditionalFormatting sqref="B1425">
    <cfRule type="cellIs" dxfId="385" priority="646" stopIfTrue="1" operator="equal">
      <formula>"Cotação Balaroti"</formula>
    </cfRule>
  </conditionalFormatting>
  <conditionalFormatting sqref="A1432:A1436">
    <cfRule type="cellIs" dxfId="384" priority="645" stopIfTrue="1" operator="equal">
      <formula>"SINAPI"</formula>
    </cfRule>
  </conditionalFormatting>
  <conditionalFormatting sqref="B1432:B1436">
    <cfRule type="cellIs" dxfId="383" priority="644" stopIfTrue="1" operator="equal">
      <formula>"Cotação Balaroti"</formula>
    </cfRule>
  </conditionalFormatting>
  <conditionalFormatting sqref="B1443">
    <cfRule type="cellIs" dxfId="382" priority="643" stopIfTrue="1" operator="equal">
      <formula>"Cotação Balaroti"</formula>
    </cfRule>
  </conditionalFormatting>
  <conditionalFormatting sqref="A1443">
    <cfRule type="cellIs" dxfId="381" priority="642" stopIfTrue="1" operator="equal">
      <formula>"SINAPI"</formula>
    </cfRule>
  </conditionalFormatting>
  <conditionalFormatting sqref="B1263:B1269">
    <cfRule type="cellIs" dxfId="380" priority="640" stopIfTrue="1" operator="equal">
      <formula>"Cotação Balaroti"</formula>
    </cfRule>
  </conditionalFormatting>
  <conditionalFormatting sqref="A1263:A1269">
    <cfRule type="cellIs" dxfId="379" priority="641" stopIfTrue="1" operator="equal">
      <formula>"SINAPI"</formula>
    </cfRule>
  </conditionalFormatting>
  <conditionalFormatting sqref="B1707">
    <cfRule type="cellIs" dxfId="378" priority="492" stopIfTrue="1" operator="equal">
      <formula>"Cotação Balaroti"</formula>
    </cfRule>
  </conditionalFormatting>
  <conditionalFormatting sqref="A1686">
    <cfRule type="cellIs" dxfId="377" priority="519" stopIfTrue="1" operator="equal">
      <formula>"SINAPI"</formula>
    </cfRule>
  </conditionalFormatting>
  <conditionalFormatting sqref="B1686">
    <cfRule type="cellIs" dxfId="376" priority="518" stopIfTrue="1" operator="equal">
      <formula>"Cotação Balaroti"</formula>
    </cfRule>
  </conditionalFormatting>
  <conditionalFormatting sqref="A1685">
    <cfRule type="cellIs" dxfId="375" priority="517" stopIfTrue="1" operator="equal">
      <formula>"SINAPI"</formula>
    </cfRule>
  </conditionalFormatting>
  <conditionalFormatting sqref="B1685">
    <cfRule type="cellIs" dxfId="374" priority="516" stopIfTrue="1" operator="equal">
      <formula>"Cotação Balaroti"</formula>
    </cfRule>
  </conditionalFormatting>
  <conditionalFormatting sqref="B1684">
    <cfRule type="cellIs" dxfId="373" priority="514" stopIfTrue="1" operator="equal">
      <formula>"Cotação Balaroti"</formula>
    </cfRule>
  </conditionalFormatting>
  <conditionalFormatting sqref="A1684">
    <cfRule type="cellIs" dxfId="372" priority="515" stopIfTrue="1" operator="equal">
      <formula>"SINAPI"</formula>
    </cfRule>
  </conditionalFormatting>
  <conditionalFormatting sqref="A1708">
    <cfRule type="cellIs" dxfId="371" priority="491" stopIfTrue="1" operator="equal">
      <formula>"SINAPI"</formula>
    </cfRule>
  </conditionalFormatting>
  <conditionalFormatting sqref="B1708">
    <cfRule type="cellIs" dxfId="370" priority="490" stopIfTrue="1" operator="equal">
      <formula>"Cotação Balaroti"</formula>
    </cfRule>
  </conditionalFormatting>
  <conditionalFormatting sqref="B1706">
    <cfRule type="cellIs" dxfId="369" priority="493" stopIfTrue="1" operator="equal">
      <formula>"Cotação Balaroti"</formula>
    </cfRule>
  </conditionalFormatting>
  <conditionalFormatting sqref="A1707">
    <cfRule type="cellIs" dxfId="368" priority="495" stopIfTrue="1" operator="equal">
      <formula>"SINAPI"</formula>
    </cfRule>
  </conditionalFormatting>
  <conditionalFormatting sqref="A1706">
    <cfRule type="cellIs" dxfId="367" priority="494" stopIfTrue="1" operator="equal">
      <formula>"SINAPI"</formula>
    </cfRule>
  </conditionalFormatting>
  <conditionalFormatting sqref="B1646">
    <cfRule type="cellIs" dxfId="366" priority="482" stopIfTrue="1" operator="equal">
      <formula>"Cotação Balaroti"</formula>
    </cfRule>
  </conditionalFormatting>
  <conditionalFormatting sqref="A1646">
    <cfRule type="cellIs" dxfId="365" priority="483" stopIfTrue="1" operator="equal">
      <formula>"SINAPI"</formula>
    </cfRule>
  </conditionalFormatting>
  <conditionalFormatting sqref="A1661 A1656:A1658">
    <cfRule type="cellIs" dxfId="364" priority="481" stopIfTrue="1" operator="equal">
      <formula>"SINAPI"</formula>
    </cfRule>
  </conditionalFormatting>
  <conditionalFormatting sqref="B1661 B1656">
    <cfRule type="cellIs" dxfId="363" priority="480" stopIfTrue="1" operator="equal">
      <formula>"Cotação Balaroti"</formula>
    </cfRule>
  </conditionalFormatting>
  <conditionalFormatting sqref="A1660">
    <cfRule type="cellIs" dxfId="362" priority="470" stopIfTrue="1" operator="equal">
      <formula>"SINAPI"</formula>
    </cfRule>
  </conditionalFormatting>
  <conditionalFormatting sqref="B1657">
    <cfRule type="cellIs" dxfId="361" priority="471" stopIfTrue="1" operator="equal">
      <formula>"Cotação Balaroti"</formula>
    </cfRule>
  </conditionalFormatting>
  <conditionalFormatting sqref="B1658">
    <cfRule type="cellIs" dxfId="360" priority="472" stopIfTrue="1" operator="equal">
      <formula>"Cotação Balaroti"</formula>
    </cfRule>
  </conditionalFormatting>
  <conditionalFormatting sqref="B1652">
    <cfRule type="cellIs" dxfId="359" priority="466" stopIfTrue="1" operator="equal">
      <formula>"Cotação Balaroti"</formula>
    </cfRule>
  </conditionalFormatting>
  <conditionalFormatting sqref="A1652:A1653">
    <cfRule type="cellIs" dxfId="358" priority="479" stopIfTrue="1" operator="equal">
      <formula>"SINAPI"</formula>
    </cfRule>
  </conditionalFormatting>
  <conditionalFormatting sqref="B1654">
    <cfRule type="cellIs" dxfId="357" priority="473" stopIfTrue="1" operator="equal">
      <formula>"Cotação Balaroti"</formula>
    </cfRule>
  </conditionalFormatting>
  <conditionalFormatting sqref="B1653">
    <cfRule type="cellIs" dxfId="356" priority="467" stopIfTrue="1" operator="equal">
      <formula>"Cotação Balaroti"</formula>
    </cfRule>
  </conditionalFormatting>
  <conditionalFormatting sqref="B1660">
    <cfRule type="cellIs" dxfId="355" priority="465" stopIfTrue="1" operator="equal">
      <formula>"Cotação Balaroti"</formula>
    </cfRule>
  </conditionalFormatting>
  <conditionalFormatting sqref="B1655">
    <cfRule type="cellIs" dxfId="354" priority="475" stopIfTrue="1" operator="equal">
      <formula>"Cotação Balaroti"</formula>
    </cfRule>
  </conditionalFormatting>
  <conditionalFormatting sqref="B1651">
    <cfRule type="cellIs" dxfId="353" priority="477" stopIfTrue="1" operator="equal">
      <formula>"Cotação Balaroti"</formula>
    </cfRule>
  </conditionalFormatting>
  <conditionalFormatting sqref="A1651">
    <cfRule type="cellIs" dxfId="352" priority="478" stopIfTrue="1" operator="equal">
      <formula>"SINAPI"</formula>
    </cfRule>
  </conditionalFormatting>
  <conditionalFormatting sqref="A1655">
    <cfRule type="cellIs" dxfId="351" priority="476" stopIfTrue="1" operator="equal">
      <formula>"SINAPI"</formula>
    </cfRule>
  </conditionalFormatting>
  <conditionalFormatting sqref="A1654">
    <cfRule type="cellIs" dxfId="350" priority="474" stopIfTrue="1" operator="equal">
      <formula>"SINAPI"</formula>
    </cfRule>
  </conditionalFormatting>
  <conditionalFormatting sqref="B1659">
    <cfRule type="cellIs" dxfId="349" priority="468" stopIfTrue="1" operator="equal">
      <formula>"Cotação Balaroti"</formula>
    </cfRule>
  </conditionalFormatting>
  <conditionalFormatting sqref="A1659">
    <cfRule type="cellIs" dxfId="348" priority="469" stopIfTrue="1" operator="equal">
      <formula>"SINAPI"</formula>
    </cfRule>
  </conditionalFormatting>
  <conditionalFormatting sqref="A1697">
    <cfRule type="cellIs" dxfId="347" priority="453" stopIfTrue="1" operator="equal">
      <formula>"SINAPI"</formula>
    </cfRule>
  </conditionalFormatting>
  <conditionalFormatting sqref="B1697">
    <cfRule type="cellIs" dxfId="346" priority="452" stopIfTrue="1" operator="equal">
      <formula>"Cotação Balaroti"</formula>
    </cfRule>
  </conditionalFormatting>
  <conditionalFormatting sqref="B1696">
    <cfRule type="cellIs" dxfId="345" priority="451" stopIfTrue="1" operator="equal">
      <formula>"Cotação Balaroti"</formula>
    </cfRule>
  </conditionalFormatting>
  <conditionalFormatting sqref="A1696">
    <cfRule type="cellIs" dxfId="344" priority="454" stopIfTrue="1" operator="equal">
      <formula>"SINAPI"</formula>
    </cfRule>
  </conditionalFormatting>
  <conditionalFormatting sqref="B1695">
    <cfRule type="cellIs" dxfId="343" priority="455" stopIfTrue="1" operator="equal">
      <formula>"Cotação Balaroti"</formula>
    </cfRule>
  </conditionalFormatting>
  <conditionalFormatting sqref="B1691">
    <cfRule type="cellIs" dxfId="342" priority="462" stopIfTrue="1" operator="equal">
      <formula>"Cotação Balaroti"</formula>
    </cfRule>
  </conditionalFormatting>
  <conditionalFormatting sqref="A1691">
    <cfRule type="cellIs" dxfId="341" priority="463" stopIfTrue="1" operator="equal">
      <formula>"SINAPI"</formula>
    </cfRule>
  </conditionalFormatting>
  <conditionalFormatting sqref="B1693">
    <cfRule type="cellIs" dxfId="340" priority="457" stopIfTrue="1" operator="equal">
      <formula>"Cotação Balaroti"</formula>
    </cfRule>
  </conditionalFormatting>
  <conditionalFormatting sqref="B1694">
    <cfRule type="cellIs" dxfId="339" priority="458" stopIfTrue="1" operator="equal">
      <formula>"Cotação Balaroti"</formula>
    </cfRule>
  </conditionalFormatting>
  <conditionalFormatting sqref="B1692">
    <cfRule type="cellIs" dxfId="338" priority="461" stopIfTrue="1" operator="equal">
      <formula>"Cotação Balaroti"</formula>
    </cfRule>
  </conditionalFormatting>
  <conditionalFormatting sqref="A1692">
    <cfRule type="cellIs" dxfId="337" priority="464" stopIfTrue="1" operator="equal">
      <formula>"SINAPI"</formula>
    </cfRule>
  </conditionalFormatting>
  <conditionalFormatting sqref="A1693">
    <cfRule type="cellIs" dxfId="336" priority="460" stopIfTrue="1" operator="equal">
      <formula>"SINAPI"</formula>
    </cfRule>
  </conditionalFormatting>
  <conditionalFormatting sqref="A1694">
    <cfRule type="cellIs" dxfId="335" priority="459" stopIfTrue="1" operator="equal">
      <formula>"SINAPI"</formula>
    </cfRule>
  </conditionalFormatting>
  <conditionalFormatting sqref="A1695">
    <cfRule type="cellIs" dxfId="334" priority="456" stopIfTrue="1" operator="equal">
      <formula>"SINAPI"</formula>
    </cfRule>
  </conditionalFormatting>
  <conditionalFormatting sqref="B1664:B1669">
    <cfRule type="cellIs" dxfId="333" priority="432" stopIfTrue="1" operator="equal">
      <formula>"Cotação Balaroti"</formula>
    </cfRule>
  </conditionalFormatting>
  <conditionalFormatting sqref="A1664:A1669">
    <cfRule type="cellIs" dxfId="332" priority="433" stopIfTrue="1" operator="equal">
      <formula>"SINAPI"</formula>
    </cfRule>
  </conditionalFormatting>
  <conditionalFormatting sqref="B1098">
    <cfRule type="cellIs" dxfId="331" priority="428" stopIfTrue="1" operator="equal">
      <formula>"Cotação Balaroti"</formula>
    </cfRule>
  </conditionalFormatting>
  <conditionalFormatting sqref="A1098">
    <cfRule type="cellIs" dxfId="330" priority="429" stopIfTrue="1" operator="equal">
      <formula>"SINAPI"</formula>
    </cfRule>
  </conditionalFormatting>
  <conditionalFormatting sqref="A1212">
    <cfRule type="cellIs" dxfId="329" priority="418" stopIfTrue="1" operator="equal">
      <formula>"SINAPI"</formula>
    </cfRule>
  </conditionalFormatting>
  <conditionalFormatting sqref="B1209">
    <cfRule type="cellIs" dxfId="328" priority="423" stopIfTrue="1" operator="equal">
      <formula>"Cotação Balaroti"</formula>
    </cfRule>
  </conditionalFormatting>
  <conditionalFormatting sqref="A1215 A1217">
    <cfRule type="cellIs" dxfId="327" priority="416" stopIfTrue="1" operator="equal">
      <formula>"SINAPI"</formula>
    </cfRule>
  </conditionalFormatting>
  <conditionalFormatting sqref="B1217">
    <cfRule type="cellIs" dxfId="326" priority="415" stopIfTrue="1" operator="equal">
      <formula>"Cotação Balaroti"</formula>
    </cfRule>
  </conditionalFormatting>
  <conditionalFormatting sqref="A1211">
    <cfRule type="cellIs" dxfId="325" priority="420" stopIfTrue="1" operator="equal">
      <formula>"SINAPI"</formula>
    </cfRule>
  </conditionalFormatting>
  <conditionalFormatting sqref="B1212">
    <cfRule type="cellIs" dxfId="324" priority="417" stopIfTrue="1" operator="equal">
      <formula>"Cotação Balaroti"</formula>
    </cfRule>
  </conditionalFormatting>
  <conditionalFormatting sqref="B1210">
    <cfRule type="cellIs" dxfId="323" priority="426" stopIfTrue="1" operator="equal">
      <formula>"Cotação Balaroti"</formula>
    </cfRule>
  </conditionalFormatting>
  <conditionalFormatting sqref="A1208 A1210">
    <cfRule type="cellIs" dxfId="322" priority="427" stopIfTrue="1" operator="equal">
      <formula>"SINAPI"</formula>
    </cfRule>
  </conditionalFormatting>
  <conditionalFormatting sqref="A1209">
    <cfRule type="cellIs" dxfId="321" priority="424" stopIfTrue="1" operator="equal">
      <formula>"SINAPI"</formula>
    </cfRule>
  </conditionalFormatting>
  <conditionalFormatting sqref="B1208">
    <cfRule type="cellIs" dxfId="320" priority="425" stopIfTrue="1" operator="equal">
      <formula>"Cotação Balaroti"</formula>
    </cfRule>
  </conditionalFormatting>
  <conditionalFormatting sqref="B1211">
    <cfRule type="cellIs" dxfId="319" priority="419" stopIfTrue="1" operator="equal">
      <formula>"Cotação Balaroti"</formula>
    </cfRule>
  </conditionalFormatting>
  <conditionalFormatting sqref="A1219">
    <cfRule type="cellIs" dxfId="318" priority="407" stopIfTrue="1" operator="equal">
      <formula>"SINAPI"</formula>
    </cfRule>
  </conditionalFormatting>
  <conditionalFormatting sqref="B1216">
    <cfRule type="cellIs" dxfId="317" priority="412" stopIfTrue="1" operator="equal">
      <formula>"Cotação Balaroti"</formula>
    </cfRule>
  </conditionalFormatting>
  <conditionalFormatting sqref="A1218">
    <cfRule type="cellIs" dxfId="316" priority="409" stopIfTrue="1" operator="equal">
      <formula>"SINAPI"</formula>
    </cfRule>
  </conditionalFormatting>
  <conditionalFormatting sqref="B1219">
    <cfRule type="cellIs" dxfId="315" priority="406" stopIfTrue="1" operator="equal">
      <formula>"Cotação Balaroti"</formula>
    </cfRule>
  </conditionalFormatting>
  <conditionalFormatting sqref="A1216">
    <cfRule type="cellIs" dxfId="314" priority="413" stopIfTrue="1" operator="equal">
      <formula>"SINAPI"</formula>
    </cfRule>
  </conditionalFormatting>
  <conditionalFormatting sqref="B1215">
    <cfRule type="cellIs" dxfId="313" priority="414" stopIfTrue="1" operator="equal">
      <formula>"Cotação Balaroti"</formula>
    </cfRule>
  </conditionalFormatting>
  <conditionalFormatting sqref="B1218">
    <cfRule type="cellIs" dxfId="312" priority="408" stopIfTrue="1" operator="equal">
      <formula>"Cotação Balaroti"</formula>
    </cfRule>
  </conditionalFormatting>
  <conditionalFormatting sqref="B41">
    <cfRule type="cellIs" dxfId="311" priority="404" stopIfTrue="1" operator="equal">
      <formula>"Cotação Balaroti"</formula>
    </cfRule>
  </conditionalFormatting>
  <conditionalFormatting sqref="A41">
    <cfRule type="cellIs" dxfId="310" priority="405" stopIfTrue="1" operator="equal">
      <formula>"SINAPI"</formula>
    </cfRule>
  </conditionalFormatting>
  <conditionalFormatting sqref="A1700">
    <cfRule type="cellIs" dxfId="309" priority="402" stopIfTrue="1" operator="equal">
      <formula>"SINAPI"</formula>
    </cfRule>
  </conditionalFormatting>
  <conditionalFormatting sqref="B1700">
    <cfRule type="cellIs" dxfId="308" priority="401" stopIfTrue="1" operator="equal">
      <formula>"Cotação Balaroti"</formula>
    </cfRule>
  </conditionalFormatting>
  <conditionalFormatting sqref="B1701">
    <cfRule type="cellIs" dxfId="307" priority="400" stopIfTrue="1" operator="equal">
      <formula>"Cotação Balaroti"</formula>
    </cfRule>
  </conditionalFormatting>
  <conditionalFormatting sqref="A1701">
    <cfRule type="cellIs" dxfId="306" priority="403" stopIfTrue="1" operator="equal">
      <formula>"SINAPI"</formula>
    </cfRule>
  </conditionalFormatting>
  <conditionalFormatting sqref="B1702">
    <cfRule type="cellIs" dxfId="305" priority="396" stopIfTrue="1" operator="equal">
      <formula>"Cotação Balaroti"</formula>
    </cfRule>
  </conditionalFormatting>
  <conditionalFormatting sqref="A1702">
    <cfRule type="cellIs" dxfId="304" priority="399" stopIfTrue="1" operator="equal">
      <formula>"SINAPI"</formula>
    </cfRule>
  </conditionalFormatting>
  <conditionalFormatting sqref="B1703">
    <cfRule type="cellIs" dxfId="303" priority="397" stopIfTrue="1" operator="equal">
      <formula>"Cotação Balaroti"</formula>
    </cfRule>
  </conditionalFormatting>
  <conditionalFormatting sqref="A1703">
    <cfRule type="cellIs" dxfId="302" priority="398" stopIfTrue="1" operator="equal">
      <formula>"SINAPI"</formula>
    </cfRule>
  </conditionalFormatting>
  <conditionalFormatting sqref="B1718">
    <cfRule type="cellIs" dxfId="301" priority="392" stopIfTrue="1" operator="equal">
      <formula>"Cotação Balaroti"</formula>
    </cfRule>
  </conditionalFormatting>
  <conditionalFormatting sqref="A1719">
    <cfRule type="cellIs" dxfId="300" priority="391" stopIfTrue="1" operator="equal">
      <formula>"SINAPI"</formula>
    </cfRule>
  </conditionalFormatting>
  <conditionalFormatting sqref="B1719">
    <cfRule type="cellIs" dxfId="299" priority="390" stopIfTrue="1" operator="equal">
      <formula>"Cotação Balaroti"</formula>
    </cfRule>
  </conditionalFormatting>
  <conditionalFormatting sqref="B1717">
    <cfRule type="cellIs" dxfId="298" priority="393" stopIfTrue="1" operator="equal">
      <formula>"Cotação Balaroti"</formula>
    </cfRule>
  </conditionalFormatting>
  <conditionalFormatting sqref="A1718">
    <cfRule type="cellIs" dxfId="297" priority="395" stopIfTrue="1" operator="equal">
      <formula>"SINAPI"</formula>
    </cfRule>
  </conditionalFormatting>
  <conditionalFormatting sqref="A1717">
    <cfRule type="cellIs" dxfId="296" priority="394" stopIfTrue="1" operator="equal">
      <formula>"SINAPI"</formula>
    </cfRule>
  </conditionalFormatting>
  <conditionalFormatting sqref="B1723">
    <cfRule type="cellIs" dxfId="295" priority="386" stopIfTrue="1" operator="equal">
      <formula>"Cotação Balaroti"</formula>
    </cfRule>
  </conditionalFormatting>
  <conditionalFormatting sqref="A1724">
    <cfRule type="cellIs" dxfId="294" priority="385" stopIfTrue="1" operator="equal">
      <formula>"SINAPI"</formula>
    </cfRule>
  </conditionalFormatting>
  <conditionalFormatting sqref="B1724">
    <cfRule type="cellIs" dxfId="293" priority="384" stopIfTrue="1" operator="equal">
      <formula>"Cotação Balaroti"</formula>
    </cfRule>
  </conditionalFormatting>
  <conditionalFormatting sqref="B1722">
    <cfRule type="cellIs" dxfId="292" priority="387" stopIfTrue="1" operator="equal">
      <formula>"Cotação Balaroti"</formula>
    </cfRule>
  </conditionalFormatting>
  <conditionalFormatting sqref="A1723">
    <cfRule type="cellIs" dxfId="291" priority="389" stopIfTrue="1" operator="equal">
      <formula>"SINAPI"</formula>
    </cfRule>
  </conditionalFormatting>
  <conditionalFormatting sqref="A1722">
    <cfRule type="cellIs" dxfId="290" priority="388" stopIfTrue="1" operator="equal">
      <formula>"SINAPI"</formula>
    </cfRule>
  </conditionalFormatting>
  <conditionalFormatting sqref="B1734">
    <cfRule type="cellIs" dxfId="289" priority="380" stopIfTrue="1" operator="equal">
      <formula>"Cotação Balaroti"</formula>
    </cfRule>
  </conditionalFormatting>
  <conditionalFormatting sqref="A1735">
    <cfRule type="cellIs" dxfId="288" priority="379" stopIfTrue="1" operator="equal">
      <formula>"SINAPI"</formula>
    </cfRule>
  </conditionalFormatting>
  <conditionalFormatting sqref="B1735">
    <cfRule type="cellIs" dxfId="287" priority="378" stopIfTrue="1" operator="equal">
      <formula>"Cotação Balaroti"</formula>
    </cfRule>
  </conditionalFormatting>
  <conditionalFormatting sqref="B1733">
    <cfRule type="cellIs" dxfId="286" priority="381" stopIfTrue="1" operator="equal">
      <formula>"Cotação Balaroti"</formula>
    </cfRule>
  </conditionalFormatting>
  <conditionalFormatting sqref="A1734">
    <cfRule type="cellIs" dxfId="285" priority="383" stopIfTrue="1" operator="equal">
      <formula>"SINAPI"</formula>
    </cfRule>
  </conditionalFormatting>
  <conditionalFormatting sqref="A1733">
    <cfRule type="cellIs" dxfId="284" priority="382" stopIfTrue="1" operator="equal">
      <formula>"SINAPI"</formula>
    </cfRule>
  </conditionalFormatting>
  <conditionalFormatting sqref="B1728">
    <cfRule type="cellIs" dxfId="283" priority="374" stopIfTrue="1" operator="equal">
      <formula>"Cotação Balaroti"</formula>
    </cfRule>
  </conditionalFormatting>
  <conditionalFormatting sqref="B1727">
    <cfRule type="cellIs" dxfId="282" priority="375" stopIfTrue="1" operator="equal">
      <formula>"Cotação Balaroti"</formula>
    </cfRule>
  </conditionalFormatting>
  <conditionalFormatting sqref="A1728">
    <cfRule type="cellIs" dxfId="281" priority="377" stopIfTrue="1" operator="equal">
      <formula>"SINAPI"</formula>
    </cfRule>
  </conditionalFormatting>
  <conditionalFormatting sqref="A1727">
    <cfRule type="cellIs" dxfId="280" priority="376" stopIfTrue="1" operator="equal">
      <formula>"SINAPI"</formula>
    </cfRule>
  </conditionalFormatting>
  <conditionalFormatting sqref="B1748">
    <cfRule type="cellIs" dxfId="279" priority="370" stopIfTrue="1" operator="equal">
      <formula>"Cotação Balaroti"</formula>
    </cfRule>
  </conditionalFormatting>
  <conditionalFormatting sqref="A1749">
    <cfRule type="cellIs" dxfId="278" priority="369" stopIfTrue="1" operator="equal">
      <formula>"SINAPI"</formula>
    </cfRule>
  </conditionalFormatting>
  <conditionalFormatting sqref="B1749">
    <cfRule type="cellIs" dxfId="277" priority="368" stopIfTrue="1" operator="equal">
      <formula>"Cotação Balaroti"</formula>
    </cfRule>
  </conditionalFormatting>
  <conditionalFormatting sqref="B1747">
    <cfRule type="cellIs" dxfId="276" priority="371" stopIfTrue="1" operator="equal">
      <formula>"Cotação Balaroti"</formula>
    </cfRule>
  </conditionalFormatting>
  <conditionalFormatting sqref="A1748">
    <cfRule type="cellIs" dxfId="275" priority="373" stopIfTrue="1" operator="equal">
      <formula>"SINAPI"</formula>
    </cfRule>
  </conditionalFormatting>
  <conditionalFormatting sqref="A1747">
    <cfRule type="cellIs" dxfId="274" priority="372" stopIfTrue="1" operator="equal">
      <formula>"SINAPI"</formula>
    </cfRule>
  </conditionalFormatting>
  <conditionalFormatting sqref="B1753">
    <cfRule type="cellIs" dxfId="273" priority="352" stopIfTrue="1" operator="equal">
      <formula>"Cotação Balaroti"</formula>
    </cfRule>
  </conditionalFormatting>
  <conditionalFormatting sqref="B1752">
    <cfRule type="cellIs" dxfId="272" priority="353" stopIfTrue="1" operator="equal">
      <formula>"Cotação Balaroti"</formula>
    </cfRule>
  </conditionalFormatting>
  <conditionalFormatting sqref="A1753">
    <cfRule type="cellIs" dxfId="271" priority="355" stopIfTrue="1" operator="equal">
      <formula>"SINAPI"</formula>
    </cfRule>
  </conditionalFormatting>
  <conditionalFormatting sqref="A1752">
    <cfRule type="cellIs" dxfId="270" priority="354" stopIfTrue="1" operator="equal">
      <formula>"SINAPI"</formula>
    </cfRule>
  </conditionalFormatting>
  <conditionalFormatting sqref="A1740">
    <cfRule type="cellIs" dxfId="269" priority="349" stopIfTrue="1" operator="equal">
      <formula>"SINAPI"</formula>
    </cfRule>
  </conditionalFormatting>
  <conditionalFormatting sqref="B1742">
    <cfRule type="cellIs" dxfId="268" priority="346" stopIfTrue="1" operator="equal">
      <formula>"Cotação Balaroti"</formula>
    </cfRule>
  </conditionalFormatting>
  <conditionalFormatting sqref="B1741">
    <cfRule type="cellIs" dxfId="267" priority="344" stopIfTrue="1" operator="equal">
      <formula>"Cotação Balaroti"</formula>
    </cfRule>
  </conditionalFormatting>
  <conditionalFormatting sqref="A1743">
    <cfRule type="cellIs" dxfId="266" priority="343" stopIfTrue="1" operator="equal">
      <formula>"SINAPI"</formula>
    </cfRule>
  </conditionalFormatting>
  <conditionalFormatting sqref="A1741">
    <cfRule type="cellIs" dxfId="265" priority="351" stopIfTrue="1" operator="equal">
      <formula>"SINAPI"</formula>
    </cfRule>
  </conditionalFormatting>
  <conditionalFormatting sqref="A1744">
    <cfRule type="cellIs" dxfId="264" priority="350" stopIfTrue="1" operator="equal">
      <formula>"SINAPI"</formula>
    </cfRule>
  </conditionalFormatting>
  <conditionalFormatting sqref="B1744">
    <cfRule type="cellIs" dxfId="263" priority="345" stopIfTrue="1" operator="equal">
      <formula>"Cotação Balaroti"</formula>
    </cfRule>
  </conditionalFormatting>
  <conditionalFormatting sqref="B1740">
    <cfRule type="cellIs" dxfId="262" priority="348" stopIfTrue="1" operator="equal">
      <formula>"Cotação Balaroti"</formula>
    </cfRule>
  </conditionalFormatting>
  <conditionalFormatting sqref="A1742">
    <cfRule type="cellIs" dxfId="261" priority="347" stopIfTrue="1" operator="equal">
      <formula>"SINAPI"</formula>
    </cfRule>
  </conditionalFormatting>
  <conditionalFormatting sqref="B1743">
    <cfRule type="cellIs" dxfId="260" priority="342" stopIfTrue="1" operator="equal">
      <formula>"Cotação Balaroti"</formula>
    </cfRule>
  </conditionalFormatting>
  <conditionalFormatting sqref="B1774">
    <cfRule type="cellIs" dxfId="259" priority="332" stopIfTrue="1" operator="equal">
      <formula>"Cotação Balaroti"</formula>
    </cfRule>
  </conditionalFormatting>
  <conditionalFormatting sqref="B1773">
    <cfRule type="cellIs" dxfId="258" priority="333" stopIfTrue="1" operator="equal">
      <formula>"Cotação Balaroti"</formula>
    </cfRule>
  </conditionalFormatting>
  <conditionalFormatting sqref="A1774">
    <cfRule type="cellIs" dxfId="257" priority="335" stopIfTrue="1" operator="equal">
      <formula>"SINAPI"</formula>
    </cfRule>
  </conditionalFormatting>
  <conditionalFormatting sqref="A1773">
    <cfRule type="cellIs" dxfId="256" priority="334" stopIfTrue="1" operator="equal">
      <formula>"SINAPI"</formula>
    </cfRule>
  </conditionalFormatting>
  <conditionalFormatting sqref="B1758">
    <cfRule type="cellIs" dxfId="255" priority="320" stopIfTrue="1" operator="equal">
      <formula>"Cotação Balaroti"</formula>
    </cfRule>
  </conditionalFormatting>
  <conditionalFormatting sqref="A1758">
    <cfRule type="cellIs" dxfId="254" priority="321" stopIfTrue="1" operator="equal">
      <formula>"SINAPI"</formula>
    </cfRule>
  </conditionalFormatting>
  <conditionalFormatting sqref="B1761:B1763 B1765 C1764">
    <cfRule type="cellIs" dxfId="253" priority="319" stopIfTrue="1" operator="equal">
      <formula>"Cotação Balaroti"</formula>
    </cfRule>
  </conditionalFormatting>
  <conditionalFormatting sqref="B1764">
    <cfRule type="cellIs" dxfId="252" priority="317" stopIfTrue="1" operator="equal">
      <formula>"Cotação Balaroti"</formula>
    </cfRule>
  </conditionalFormatting>
  <conditionalFormatting sqref="B1770">
    <cfRule type="cellIs" dxfId="251" priority="308" stopIfTrue="1" operator="equal">
      <formula>"Cotação Balaroti"</formula>
    </cfRule>
  </conditionalFormatting>
  <conditionalFormatting sqref="A1770">
    <cfRule type="cellIs" dxfId="250" priority="309" stopIfTrue="1" operator="equal">
      <formula>"SINAPI"</formula>
    </cfRule>
  </conditionalFormatting>
  <conditionalFormatting sqref="B1768">
    <cfRule type="cellIs" dxfId="249" priority="312" stopIfTrue="1" operator="equal">
      <formula>"Cotação Balaroti"</formula>
    </cfRule>
  </conditionalFormatting>
  <conditionalFormatting sqref="B1767">
    <cfRule type="cellIs" dxfId="248" priority="314" stopIfTrue="1" operator="equal">
      <formula>"Cotação Balaroti"</formula>
    </cfRule>
  </conditionalFormatting>
  <conditionalFormatting sqref="A1767">
    <cfRule type="cellIs" dxfId="247" priority="316" stopIfTrue="1" operator="equal">
      <formula>"SINAPI"</formula>
    </cfRule>
  </conditionalFormatting>
  <conditionalFormatting sqref="A1768">
    <cfRule type="cellIs" dxfId="246" priority="313" stopIfTrue="1" operator="equal">
      <formula>"SINAPI"</formula>
    </cfRule>
  </conditionalFormatting>
  <conditionalFormatting sqref="A1769">
    <cfRule type="cellIs" dxfId="245" priority="307" stopIfTrue="1" operator="equal">
      <formula>"SINAPI"</formula>
    </cfRule>
  </conditionalFormatting>
  <conditionalFormatting sqref="B1769">
    <cfRule type="cellIs" dxfId="244" priority="306" stopIfTrue="1" operator="equal">
      <formula>"Cotação Balaroti"</formula>
    </cfRule>
  </conditionalFormatting>
  <conditionalFormatting sqref="A262">
    <cfRule type="cellIs" dxfId="243" priority="305" stopIfTrue="1" operator="equal">
      <formula>"SINAPI"</formula>
    </cfRule>
  </conditionalFormatting>
  <conditionalFormatting sqref="B262">
    <cfRule type="cellIs" dxfId="242" priority="304" stopIfTrue="1" operator="equal">
      <formula>"Cotação Balaroti"</formula>
    </cfRule>
  </conditionalFormatting>
  <conditionalFormatting sqref="A261">
    <cfRule type="cellIs" dxfId="241" priority="303" stopIfTrue="1" operator="equal">
      <formula>"SINAPI"</formula>
    </cfRule>
  </conditionalFormatting>
  <conditionalFormatting sqref="B261">
    <cfRule type="cellIs" dxfId="240" priority="302" stopIfTrue="1" operator="equal">
      <formula>"Cotação Balaroti"</formula>
    </cfRule>
  </conditionalFormatting>
  <conditionalFormatting sqref="B260">
    <cfRule type="cellIs" dxfId="239" priority="300" stopIfTrue="1" operator="equal">
      <formula>"Cotação Balaroti"</formula>
    </cfRule>
  </conditionalFormatting>
  <conditionalFormatting sqref="A260">
    <cfRule type="cellIs" dxfId="238" priority="301" stopIfTrue="1" operator="equal">
      <formula>"SINAPI"</formula>
    </cfRule>
  </conditionalFormatting>
  <conditionalFormatting sqref="A654">
    <cfRule type="cellIs" dxfId="237" priority="299" stopIfTrue="1" operator="equal">
      <formula>"SINAPI"</formula>
    </cfRule>
  </conditionalFormatting>
  <conditionalFormatting sqref="B654">
    <cfRule type="cellIs" dxfId="236" priority="298" stopIfTrue="1" operator="equal">
      <formula>"Cotação Balaroti"</formula>
    </cfRule>
  </conditionalFormatting>
  <conditionalFormatting sqref="A653">
    <cfRule type="cellIs" dxfId="235" priority="297" stopIfTrue="1" operator="equal">
      <formula>"SINAPI"</formula>
    </cfRule>
  </conditionalFormatting>
  <conditionalFormatting sqref="B653">
    <cfRule type="cellIs" dxfId="234" priority="296" stopIfTrue="1" operator="equal">
      <formula>"Cotação Balaroti"</formula>
    </cfRule>
  </conditionalFormatting>
  <conditionalFormatting sqref="B652">
    <cfRule type="cellIs" dxfId="233" priority="294" stopIfTrue="1" operator="equal">
      <formula>"Cotação Balaroti"</formula>
    </cfRule>
  </conditionalFormatting>
  <conditionalFormatting sqref="A652">
    <cfRule type="cellIs" dxfId="232" priority="295" stopIfTrue="1" operator="equal">
      <formula>"SINAPI"</formula>
    </cfRule>
  </conditionalFormatting>
  <conditionalFormatting sqref="A1236">
    <cfRule type="cellIs" dxfId="231" priority="293" stopIfTrue="1" operator="equal">
      <formula>"SINAPI"</formula>
    </cfRule>
  </conditionalFormatting>
  <conditionalFormatting sqref="B1236">
    <cfRule type="cellIs" dxfId="230" priority="292" stopIfTrue="1" operator="equal">
      <formula>"Cotação Balaroti"</formula>
    </cfRule>
  </conditionalFormatting>
  <conditionalFormatting sqref="A1235">
    <cfRule type="cellIs" dxfId="229" priority="291" stopIfTrue="1" operator="equal">
      <formula>"SINAPI"</formula>
    </cfRule>
  </conditionalFormatting>
  <conditionalFormatting sqref="B1235">
    <cfRule type="cellIs" dxfId="228" priority="290" stopIfTrue="1" operator="equal">
      <formula>"Cotação Balaroti"</formula>
    </cfRule>
  </conditionalFormatting>
  <conditionalFormatting sqref="B1234">
    <cfRule type="cellIs" dxfId="227" priority="288" stopIfTrue="1" operator="equal">
      <formula>"Cotação Balaroti"</formula>
    </cfRule>
  </conditionalFormatting>
  <conditionalFormatting sqref="A1234">
    <cfRule type="cellIs" dxfId="226" priority="289" stopIfTrue="1" operator="equal">
      <formula>"SINAPI"</formula>
    </cfRule>
  </conditionalFormatting>
  <conditionalFormatting sqref="B373">
    <cfRule type="cellIs" dxfId="225" priority="286" stopIfTrue="1" operator="equal">
      <formula>"Cotação Balaroti"</formula>
    </cfRule>
  </conditionalFormatting>
  <conditionalFormatting sqref="A373">
    <cfRule type="cellIs" dxfId="224" priority="287" stopIfTrue="1" operator="equal">
      <formula>"SINAPI"</formula>
    </cfRule>
  </conditionalFormatting>
  <conditionalFormatting sqref="B768">
    <cfRule type="cellIs" dxfId="223" priority="284" stopIfTrue="1" operator="equal">
      <formula>"Cotação Balaroti"</formula>
    </cfRule>
  </conditionalFormatting>
  <conditionalFormatting sqref="A768">
    <cfRule type="cellIs" dxfId="222" priority="285" stopIfTrue="1" operator="equal">
      <formula>"SINAPI"</formula>
    </cfRule>
  </conditionalFormatting>
  <conditionalFormatting sqref="A234:A235">
    <cfRule type="cellIs" dxfId="221" priority="283" stopIfTrue="1" operator="equal">
      <formula>"SINAPI"</formula>
    </cfRule>
  </conditionalFormatting>
  <conditionalFormatting sqref="B237">
    <cfRule type="cellIs" dxfId="220" priority="275" stopIfTrue="1" operator="equal">
      <formula>"Cotação Balaroti"</formula>
    </cfRule>
  </conditionalFormatting>
  <conditionalFormatting sqref="B233">
    <cfRule type="cellIs" dxfId="219" priority="281" stopIfTrue="1" operator="equal">
      <formula>"Cotação Balaroti"</formula>
    </cfRule>
  </conditionalFormatting>
  <conditionalFormatting sqref="A237">
    <cfRule type="cellIs" dxfId="218" priority="276" stopIfTrue="1" operator="equal">
      <formula>"SINAPI"</formula>
    </cfRule>
  </conditionalFormatting>
  <conditionalFormatting sqref="A233">
    <cfRule type="cellIs" dxfId="217" priority="282" stopIfTrue="1" operator="equal">
      <formula>"SINAPI"</formula>
    </cfRule>
  </conditionalFormatting>
  <conditionalFormatting sqref="B234">
    <cfRule type="cellIs" dxfId="216" priority="279" stopIfTrue="1" operator="equal">
      <formula>"Cotação Balaroti"</formula>
    </cfRule>
  </conditionalFormatting>
  <conditionalFormatting sqref="A236">
    <cfRule type="cellIs" dxfId="215" priority="278" stopIfTrue="1" operator="equal">
      <formula>"SINAPI"</formula>
    </cfRule>
  </conditionalFormatting>
  <conditionalFormatting sqref="B236">
    <cfRule type="cellIs" dxfId="214" priority="277" stopIfTrue="1" operator="equal">
      <formula>"Cotação Balaroti"</formula>
    </cfRule>
  </conditionalFormatting>
  <conditionalFormatting sqref="A238">
    <cfRule type="cellIs" dxfId="213" priority="274" stopIfTrue="1" operator="equal">
      <formula>"SINAPI"</formula>
    </cfRule>
  </conditionalFormatting>
  <conditionalFormatting sqref="B238">
    <cfRule type="cellIs" dxfId="212" priority="273" stopIfTrue="1" operator="equal">
      <formula>"Cotação Balaroti"</formula>
    </cfRule>
  </conditionalFormatting>
  <conditionalFormatting sqref="B235">
    <cfRule type="cellIs" dxfId="211" priority="280" stopIfTrue="1" operator="equal">
      <formula>"Cotação Balaroti"</formula>
    </cfRule>
  </conditionalFormatting>
  <conditionalFormatting sqref="A880">
    <cfRule type="cellIs" dxfId="210" priority="272" stopIfTrue="1" operator="equal">
      <formula>"SINAPI"</formula>
    </cfRule>
  </conditionalFormatting>
  <conditionalFormatting sqref="B880">
    <cfRule type="cellIs" dxfId="209" priority="271" stopIfTrue="1" operator="equal">
      <formula>"SINAPI"</formula>
    </cfRule>
  </conditionalFormatting>
  <conditionalFormatting sqref="A869">
    <cfRule type="cellIs" dxfId="208" priority="270" stopIfTrue="1" operator="equal">
      <formula>"SINAPI"</formula>
    </cfRule>
  </conditionalFormatting>
  <conditionalFormatting sqref="A870">
    <cfRule type="cellIs" dxfId="207" priority="269" stopIfTrue="1" operator="equal">
      <formula>"SINAPI"</formula>
    </cfRule>
  </conditionalFormatting>
  <conditionalFormatting sqref="B873">
    <cfRule type="cellIs" dxfId="206" priority="267" stopIfTrue="1" operator="equal">
      <formula>"Cotação Balaroti"</formula>
    </cfRule>
  </conditionalFormatting>
  <conditionalFormatting sqref="A873">
    <cfRule type="cellIs" dxfId="205" priority="268" stopIfTrue="1" operator="equal">
      <formula>"SINAPI"</formula>
    </cfRule>
  </conditionalFormatting>
  <conditionalFormatting sqref="A871">
    <cfRule type="cellIs" dxfId="204" priority="266" stopIfTrue="1" operator="equal">
      <formula>"SINAPI"</formula>
    </cfRule>
  </conditionalFormatting>
  <conditionalFormatting sqref="A872">
    <cfRule type="cellIs" dxfId="203" priority="265" stopIfTrue="1" operator="equal">
      <formula>"SINAPI"</formula>
    </cfRule>
  </conditionalFormatting>
  <conditionalFormatting sqref="B869:B872">
    <cfRule type="cellIs" dxfId="202" priority="264" stopIfTrue="1" operator="equal">
      <formula>"Cotação Balaroti"</formula>
    </cfRule>
  </conditionalFormatting>
  <conditionalFormatting sqref="B874">
    <cfRule type="cellIs" dxfId="201" priority="262" stopIfTrue="1" operator="equal">
      <formula>"Cotação Balaroti"</formula>
    </cfRule>
  </conditionalFormatting>
  <conditionalFormatting sqref="A874">
    <cfRule type="cellIs" dxfId="200" priority="263" stopIfTrue="1" operator="equal">
      <formula>"SINAPI"</formula>
    </cfRule>
  </conditionalFormatting>
  <conditionalFormatting sqref="A868">
    <cfRule type="cellIs" dxfId="199" priority="261" stopIfTrue="1" operator="equal">
      <formula>"SINAPI"</formula>
    </cfRule>
  </conditionalFormatting>
  <conditionalFormatting sqref="B868">
    <cfRule type="cellIs" dxfId="198" priority="260" stopIfTrue="1" operator="equal">
      <formula>"Cotação Balaroti"</formula>
    </cfRule>
  </conditionalFormatting>
  <conditionalFormatting sqref="A875:A879">
    <cfRule type="cellIs" dxfId="197" priority="259" stopIfTrue="1" operator="equal">
      <formula>"SINAPI"</formula>
    </cfRule>
  </conditionalFormatting>
  <conditionalFormatting sqref="B875:B879">
    <cfRule type="cellIs" dxfId="196" priority="258" stopIfTrue="1" operator="equal">
      <formula>"Cotação Balaroti"</formula>
    </cfRule>
  </conditionalFormatting>
  <conditionalFormatting sqref="B1326">
    <cfRule type="cellIs" dxfId="195" priority="238" stopIfTrue="1" operator="equal">
      <formula>"Cotação Balaroti"</formula>
    </cfRule>
  </conditionalFormatting>
  <conditionalFormatting sqref="A1326">
    <cfRule type="cellIs" dxfId="194" priority="239" stopIfTrue="1" operator="equal">
      <formula>"SINAPI"</formula>
    </cfRule>
  </conditionalFormatting>
  <conditionalFormatting sqref="B888">
    <cfRule type="cellIs" dxfId="193" priority="255" stopIfTrue="1" operator="equal">
      <formula>"Cotação Balaroti"</formula>
    </cfRule>
  </conditionalFormatting>
  <conditionalFormatting sqref="B889">
    <cfRule type="cellIs" dxfId="192" priority="254" stopIfTrue="1" operator="equal">
      <formula>"Cotação Balaroti"</formula>
    </cfRule>
  </conditionalFormatting>
  <conditionalFormatting sqref="B1325">
    <cfRule type="cellIs" dxfId="191" priority="240" stopIfTrue="1" operator="equal">
      <formula>"Cotação Balaroti"</formula>
    </cfRule>
  </conditionalFormatting>
  <conditionalFormatting sqref="B890">
    <cfRule type="cellIs" dxfId="190" priority="245" stopIfTrue="1" operator="equal">
      <formula>"Cotação Balaroti"</formula>
    </cfRule>
  </conditionalFormatting>
  <conditionalFormatting sqref="A889">
    <cfRule type="cellIs" dxfId="189" priority="257" stopIfTrue="1" operator="equal">
      <formula>"SINAPI"</formula>
    </cfRule>
  </conditionalFormatting>
  <conditionalFormatting sqref="A1325">
    <cfRule type="cellIs" dxfId="188" priority="241" stopIfTrue="1" operator="equal">
      <formula>"SINAPI"</formula>
    </cfRule>
  </conditionalFormatting>
  <conditionalFormatting sqref="A888">
    <cfRule type="cellIs" dxfId="187" priority="256" stopIfTrue="1" operator="equal">
      <formula>"SINAPI"</formula>
    </cfRule>
  </conditionalFormatting>
  <conditionalFormatting sqref="A890">
    <cfRule type="cellIs" dxfId="186" priority="246" stopIfTrue="1" operator="equal">
      <formula>"SINAPI"</formula>
    </cfRule>
  </conditionalFormatting>
  <conditionalFormatting sqref="B1327:B1335">
    <cfRule type="cellIs" dxfId="185" priority="236" stopIfTrue="1" operator="equal">
      <formula>"Cotação Balaroti"</formula>
    </cfRule>
  </conditionalFormatting>
  <conditionalFormatting sqref="B1376">
    <cfRule type="cellIs" dxfId="184" priority="232" stopIfTrue="1" operator="equal">
      <formula>"Cotação Balaroti"</formula>
    </cfRule>
  </conditionalFormatting>
  <conditionalFormatting sqref="A1375">
    <cfRule type="cellIs" dxfId="183" priority="235" stopIfTrue="1" operator="equal">
      <formula>"SINAPI"</formula>
    </cfRule>
  </conditionalFormatting>
  <conditionalFormatting sqref="A1327:A1335">
    <cfRule type="cellIs" dxfId="182" priority="237" stopIfTrue="1" operator="equal">
      <formula>"SINAPI"</formula>
    </cfRule>
  </conditionalFormatting>
  <conditionalFormatting sqref="B1375">
    <cfRule type="cellIs" dxfId="181" priority="234" stopIfTrue="1" operator="equal">
      <formula>"Cotação Balaroti"</formula>
    </cfRule>
  </conditionalFormatting>
  <conditionalFormatting sqref="A1376">
    <cfRule type="cellIs" dxfId="180" priority="233" stopIfTrue="1" operator="equal">
      <formula>"SINAPI"</formula>
    </cfRule>
  </conditionalFormatting>
  <conditionalFormatting sqref="A1674:A1675">
    <cfRule type="cellIs" dxfId="179" priority="231" stopIfTrue="1" operator="equal">
      <formula>"SINAPI"</formula>
    </cfRule>
  </conditionalFormatting>
  <conditionalFormatting sqref="B1677">
    <cfRule type="cellIs" dxfId="178" priority="223" stopIfTrue="1" operator="equal">
      <formula>"Cotação Balaroti"</formula>
    </cfRule>
  </conditionalFormatting>
  <conditionalFormatting sqref="B1673">
    <cfRule type="cellIs" dxfId="177" priority="229" stopIfTrue="1" operator="equal">
      <formula>"Cotação Balaroti"</formula>
    </cfRule>
  </conditionalFormatting>
  <conditionalFormatting sqref="A1677">
    <cfRule type="cellIs" dxfId="176" priority="224" stopIfTrue="1" operator="equal">
      <formula>"SINAPI"</formula>
    </cfRule>
  </conditionalFormatting>
  <conditionalFormatting sqref="A1673">
    <cfRule type="cellIs" dxfId="175" priority="230" stopIfTrue="1" operator="equal">
      <formula>"SINAPI"</formula>
    </cfRule>
  </conditionalFormatting>
  <conditionalFormatting sqref="B1674">
    <cfRule type="cellIs" dxfId="174" priority="227" stopIfTrue="1" operator="equal">
      <formula>"Cotação Balaroti"</formula>
    </cfRule>
  </conditionalFormatting>
  <conditionalFormatting sqref="A1676">
    <cfRule type="cellIs" dxfId="173" priority="226" stopIfTrue="1" operator="equal">
      <formula>"SINAPI"</formula>
    </cfRule>
  </conditionalFormatting>
  <conditionalFormatting sqref="B1676">
    <cfRule type="cellIs" dxfId="172" priority="225" stopIfTrue="1" operator="equal">
      <formula>"Cotação Balaroti"</formula>
    </cfRule>
  </conditionalFormatting>
  <conditionalFormatting sqref="A1678">
    <cfRule type="cellIs" dxfId="171" priority="222" stopIfTrue="1" operator="equal">
      <formula>"SINAPI"</formula>
    </cfRule>
  </conditionalFormatting>
  <conditionalFormatting sqref="B1678">
    <cfRule type="cellIs" dxfId="170" priority="221" stopIfTrue="1" operator="equal">
      <formula>"Cotação Balaroti"</formula>
    </cfRule>
  </conditionalFormatting>
  <conditionalFormatting sqref="B1675">
    <cfRule type="cellIs" dxfId="169" priority="228" stopIfTrue="1" operator="equal">
      <formula>"Cotação Balaroti"</formula>
    </cfRule>
  </conditionalFormatting>
  <conditionalFormatting sqref="A1001">
    <cfRule type="cellIs" dxfId="168" priority="218" stopIfTrue="1" operator="equal">
      <formula>"SINAPI"</formula>
    </cfRule>
  </conditionalFormatting>
  <conditionalFormatting sqref="A1002">
    <cfRule type="cellIs" dxfId="167" priority="220" stopIfTrue="1" operator="equal">
      <formula>"SINAPI"</formula>
    </cfRule>
  </conditionalFormatting>
  <conditionalFormatting sqref="B1002">
    <cfRule type="cellIs" dxfId="166" priority="219" stopIfTrue="1" operator="equal">
      <formula>"Cotação Balaroti"</formula>
    </cfRule>
  </conditionalFormatting>
  <conditionalFormatting sqref="B1001">
    <cfRule type="cellIs" dxfId="165" priority="217" stopIfTrue="1" operator="equal">
      <formula>"Cotação Balaroti"</formula>
    </cfRule>
  </conditionalFormatting>
  <conditionalFormatting sqref="A993:A997">
    <cfRule type="cellIs" dxfId="164" priority="216" stopIfTrue="1" operator="equal">
      <formula>"SINAPI"</formula>
    </cfRule>
  </conditionalFormatting>
  <conditionalFormatting sqref="A992">
    <cfRule type="cellIs" dxfId="163" priority="213" stopIfTrue="1" operator="equal">
      <formula>"SINAPI"</formula>
    </cfRule>
  </conditionalFormatting>
  <conditionalFormatting sqref="B993:B997">
    <cfRule type="cellIs" dxfId="162" priority="208" stopIfTrue="1" operator="equal">
      <formula>"Cotação Balaroti"</formula>
    </cfRule>
  </conditionalFormatting>
  <conditionalFormatting sqref="B992">
    <cfRule type="cellIs" dxfId="161" priority="205" stopIfTrue="1" operator="equal">
      <formula>"Cotação Balaroti"</formula>
    </cfRule>
  </conditionalFormatting>
  <conditionalFormatting sqref="A402">
    <cfRule type="cellIs" dxfId="160" priority="202" stopIfTrue="1" operator="equal">
      <formula>"SINAPI"</formula>
    </cfRule>
  </conditionalFormatting>
  <conditionalFormatting sqref="A401">
    <cfRule type="cellIs" dxfId="159" priority="204" stopIfTrue="1" operator="equal">
      <formula>"SINAPI"</formula>
    </cfRule>
  </conditionalFormatting>
  <conditionalFormatting sqref="B401">
    <cfRule type="cellIs" dxfId="158" priority="203" stopIfTrue="1" operator="equal">
      <formula>"Cotação Balaroti"</formula>
    </cfRule>
  </conditionalFormatting>
  <conditionalFormatting sqref="B402">
    <cfRule type="cellIs" dxfId="157" priority="201" stopIfTrue="1" operator="equal">
      <formula>"Cotação Balaroti"</formula>
    </cfRule>
  </conditionalFormatting>
  <conditionalFormatting sqref="B798:B802">
    <cfRule type="cellIs" dxfId="156" priority="197" stopIfTrue="1" operator="equal">
      <formula>"Cotação Balaroti"</formula>
    </cfRule>
  </conditionalFormatting>
  <conditionalFormatting sqref="A798:A802">
    <cfRule type="cellIs" dxfId="155" priority="198" stopIfTrue="1" operator="equal">
      <formula>"SINAPI"</formula>
    </cfRule>
  </conditionalFormatting>
  <conditionalFormatting sqref="A797">
    <cfRule type="cellIs" dxfId="154" priority="194" stopIfTrue="1" operator="equal">
      <formula>"SINAPI"</formula>
    </cfRule>
  </conditionalFormatting>
  <conditionalFormatting sqref="A796">
    <cfRule type="cellIs" dxfId="153" priority="196" stopIfTrue="1" operator="equal">
      <formula>"SINAPI"</formula>
    </cfRule>
  </conditionalFormatting>
  <conditionalFormatting sqref="B796">
    <cfRule type="cellIs" dxfId="152" priority="195" stopIfTrue="1" operator="equal">
      <formula>"Cotação Balaroti"</formula>
    </cfRule>
  </conditionalFormatting>
  <conditionalFormatting sqref="B797">
    <cfRule type="cellIs" dxfId="151" priority="193" stopIfTrue="1" operator="equal">
      <formula>"Cotação Balaroti"</formula>
    </cfRule>
  </conditionalFormatting>
  <conditionalFormatting sqref="B1788">
    <cfRule type="cellIs" dxfId="150" priority="172" stopIfTrue="1" operator="equal">
      <formula>"Cotação Balaroti"</formula>
    </cfRule>
  </conditionalFormatting>
  <conditionalFormatting sqref="A1788">
    <cfRule type="cellIs" dxfId="149" priority="183" stopIfTrue="1" operator="equal">
      <formula>"SINAPI"</formula>
    </cfRule>
  </conditionalFormatting>
  <conditionalFormatting sqref="B1791 B1793">
    <cfRule type="cellIs" dxfId="148" priority="170" stopIfTrue="1" operator="equal">
      <formula>"Cotação Balaroti"</formula>
    </cfRule>
  </conditionalFormatting>
  <conditionalFormatting sqref="B1790">
    <cfRule type="cellIs" dxfId="147" priority="176" stopIfTrue="1" operator="equal">
      <formula>"Cotação Balaroti"</formula>
    </cfRule>
  </conditionalFormatting>
  <conditionalFormatting sqref="A1790">
    <cfRule type="cellIs" dxfId="146" priority="177" stopIfTrue="1" operator="equal">
      <formula>"SINAPI"</formula>
    </cfRule>
  </conditionalFormatting>
  <conditionalFormatting sqref="A1780">
    <cfRule type="cellIs" dxfId="145" priority="169" stopIfTrue="1" operator="equal">
      <formula>"SINAPI"</formula>
    </cfRule>
  </conditionalFormatting>
  <conditionalFormatting sqref="A1789">
    <cfRule type="cellIs" dxfId="144" priority="175" stopIfTrue="1" operator="equal">
      <formula>"SINAPI"</formula>
    </cfRule>
  </conditionalFormatting>
  <conditionalFormatting sqref="B1789">
    <cfRule type="cellIs" dxfId="143" priority="173" stopIfTrue="1" operator="equal">
      <formula>"Cotação Balaroti"</formula>
    </cfRule>
  </conditionalFormatting>
  <conditionalFormatting sqref="B1783 B1785">
    <cfRule type="cellIs" dxfId="142" priority="162" stopIfTrue="1" operator="equal">
      <formula>"Cotação Balaroti"</formula>
    </cfRule>
  </conditionalFormatting>
  <conditionalFormatting sqref="A1791 A1793">
    <cfRule type="cellIs" dxfId="141" priority="171" stopIfTrue="1" operator="equal">
      <formula>"SINAPI"</formula>
    </cfRule>
  </conditionalFormatting>
  <conditionalFormatting sqref="B1782">
    <cfRule type="cellIs" dxfId="140" priority="167" stopIfTrue="1" operator="equal">
      <formula>"Cotação Balaroti"</formula>
    </cfRule>
  </conditionalFormatting>
  <conditionalFormatting sqref="A1782">
    <cfRule type="cellIs" dxfId="139" priority="168" stopIfTrue="1" operator="equal">
      <formula>"SINAPI"</formula>
    </cfRule>
  </conditionalFormatting>
  <conditionalFormatting sqref="A1781">
    <cfRule type="cellIs" dxfId="138" priority="166" stopIfTrue="1" operator="equal">
      <formula>"SINAPI"</formula>
    </cfRule>
  </conditionalFormatting>
  <conditionalFormatting sqref="B1780">
    <cfRule type="cellIs" dxfId="137" priority="164" stopIfTrue="1" operator="equal">
      <formula>"Cotação Balaroti"</formula>
    </cfRule>
  </conditionalFormatting>
  <conditionalFormatting sqref="B1781">
    <cfRule type="cellIs" dxfId="136" priority="165" stopIfTrue="1" operator="equal">
      <formula>"Cotação Balaroti"</formula>
    </cfRule>
  </conditionalFormatting>
  <conditionalFormatting sqref="A1783 A1785">
    <cfRule type="cellIs" dxfId="135" priority="163" stopIfTrue="1" operator="equal">
      <formula>"SINAPI"</formula>
    </cfRule>
  </conditionalFormatting>
  <conditionalFormatting sqref="B1796">
    <cfRule type="cellIs" dxfId="134" priority="156" stopIfTrue="1" operator="equal">
      <formula>"Cotação Balaroti"</formula>
    </cfRule>
  </conditionalFormatting>
  <conditionalFormatting sqref="A1796">
    <cfRule type="cellIs" dxfId="133" priority="161" stopIfTrue="1" operator="equal">
      <formula>"SINAPI"</formula>
    </cfRule>
  </conditionalFormatting>
  <conditionalFormatting sqref="B1799:B1800">
    <cfRule type="cellIs" dxfId="132" priority="154" stopIfTrue="1" operator="equal">
      <formula>"Cotação Balaroti"</formula>
    </cfRule>
  </conditionalFormatting>
  <conditionalFormatting sqref="B1798">
    <cfRule type="cellIs" dxfId="131" priority="159" stopIfTrue="1" operator="equal">
      <formula>"Cotação Balaroti"</formula>
    </cfRule>
  </conditionalFormatting>
  <conditionalFormatting sqref="A1798">
    <cfRule type="cellIs" dxfId="130" priority="160" stopIfTrue="1" operator="equal">
      <formula>"SINAPI"</formula>
    </cfRule>
  </conditionalFormatting>
  <conditionalFormatting sqref="A1797">
    <cfRule type="cellIs" dxfId="129" priority="158" stopIfTrue="1" operator="equal">
      <formula>"SINAPI"</formula>
    </cfRule>
  </conditionalFormatting>
  <conditionalFormatting sqref="B1797">
    <cfRule type="cellIs" dxfId="128" priority="157" stopIfTrue="1" operator="equal">
      <formula>"Cotação Balaroti"</formula>
    </cfRule>
  </conditionalFormatting>
  <conditionalFormatting sqref="A1799:A1800">
    <cfRule type="cellIs" dxfId="127" priority="155" stopIfTrue="1" operator="equal">
      <formula>"SINAPI"</formula>
    </cfRule>
  </conditionalFormatting>
  <conditionalFormatting sqref="B1803">
    <cfRule type="cellIs" dxfId="126" priority="148" stopIfTrue="1" operator="equal">
      <formula>"Cotação Balaroti"</formula>
    </cfRule>
  </conditionalFormatting>
  <conditionalFormatting sqref="A1803">
    <cfRule type="cellIs" dxfId="125" priority="153" stopIfTrue="1" operator="equal">
      <formula>"SINAPI"</formula>
    </cfRule>
  </conditionalFormatting>
  <conditionalFormatting sqref="B1806">
    <cfRule type="cellIs" dxfId="124" priority="146" stopIfTrue="1" operator="equal">
      <formula>"Cotação Balaroti"</formula>
    </cfRule>
  </conditionalFormatting>
  <conditionalFormatting sqref="B1805">
    <cfRule type="cellIs" dxfId="123" priority="151" stopIfTrue="1" operator="equal">
      <formula>"Cotação Balaroti"</formula>
    </cfRule>
  </conditionalFormatting>
  <conditionalFormatting sqref="A1805">
    <cfRule type="cellIs" dxfId="122" priority="152" stopIfTrue="1" operator="equal">
      <formula>"SINAPI"</formula>
    </cfRule>
  </conditionalFormatting>
  <conditionalFormatting sqref="A1804">
    <cfRule type="cellIs" dxfId="121" priority="150" stopIfTrue="1" operator="equal">
      <formula>"SINAPI"</formula>
    </cfRule>
  </conditionalFormatting>
  <conditionalFormatting sqref="B1804">
    <cfRule type="cellIs" dxfId="120" priority="149" stopIfTrue="1" operator="equal">
      <formula>"Cotação Balaroti"</formula>
    </cfRule>
  </conditionalFormatting>
  <conditionalFormatting sqref="A1806">
    <cfRule type="cellIs" dxfId="119" priority="147" stopIfTrue="1" operator="equal">
      <formula>"SINAPI"</formula>
    </cfRule>
  </conditionalFormatting>
  <conditionalFormatting sqref="B1810">
    <cfRule type="cellIs" dxfId="118" priority="140" stopIfTrue="1" operator="equal">
      <formula>"Cotação Balaroti"</formula>
    </cfRule>
  </conditionalFormatting>
  <conditionalFormatting sqref="A1810">
    <cfRule type="cellIs" dxfId="117" priority="145" stopIfTrue="1" operator="equal">
      <formula>"SINAPI"</formula>
    </cfRule>
  </conditionalFormatting>
  <conditionalFormatting sqref="B1813">
    <cfRule type="cellIs" dxfId="116" priority="138" stopIfTrue="1" operator="equal">
      <formula>"Cotação Balaroti"</formula>
    </cfRule>
  </conditionalFormatting>
  <conditionalFormatting sqref="B1812">
    <cfRule type="cellIs" dxfId="115" priority="143" stopIfTrue="1" operator="equal">
      <formula>"Cotação Balaroti"</formula>
    </cfRule>
  </conditionalFormatting>
  <conditionalFormatting sqref="A1812">
    <cfRule type="cellIs" dxfId="114" priority="144" stopIfTrue="1" operator="equal">
      <formula>"SINAPI"</formula>
    </cfRule>
  </conditionalFormatting>
  <conditionalFormatting sqref="A1811">
    <cfRule type="cellIs" dxfId="113" priority="142" stopIfTrue="1" operator="equal">
      <formula>"SINAPI"</formula>
    </cfRule>
  </conditionalFormatting>
  <conditionalFormatting sqref="B1811">
    <cfRule type="cellIs" dxfId="112" priority="141" stopIfTrue="1" operator="equal">
      <formula>"Cotação Balaroti"</formula>
    </cfRule>
  </conditionalFormatting>
  <conditionalFormatting sqref="A1813">
    <cfRule type="cellIs" dxfId="111" priority="139" stopIfTrue="1" operator="equal">
      <formula>"SINAPI"</formula>
    </cfRule>
  </conditionalFormatting>
  <conditionalFormatting sqref="B1816">
    <cfRule type="cellIs" dxfId="110" priority="132" stopIfTrue="1" operator="equal">
      <formula>"Cotação Balaroti"</formula>
    </cfRule>
  </conditionalFormatting>
  <conditionalFormatting sqref="A1816">
    <cfRule type="cellIs" dxfId="109" priority="137" stopIfTrue="1" operator="equal">
      <formula>"SINAPI"</formula>
    </cfRule>
  </conditionalFormatting>
  <conditionalFormatting sqref="B1818">
    <cfRule type="cellIs" dxfId="108" priority="130" stopIfTrue="1" operator="equal">
      <formula>"Cotação Balaroti"</formula>
    </cfRule>
  </conditionalFormatting>
  <conditionalFormatting sqref="B1822">
    <cfRule type="cellIs" dxfId="107" priority="127" stopIfTrue="1" operator="equal">
      <formula>"Cotação Balaroti"</formula>
    </cfRule>
  </conditionalFormatting>
  <conditionalFormatting sqref="A1822">
    <cfRule type="cellIs" dxfId="106" priority="128" stopIfTrue="1" operator="equal">
      <formula>"SINAPI"</formula>
    </cfRule>
  </conditionalFormatting>
  <conditionalFormatting sqref="A1817">
    <cfRule type="cellIs" dxfId="105" priority="134" stopIfTrue="1" operator="equal">
      <formula>"SINAPI"</formula>
    </cfRule>
  </conditionalFormatting>
  <conditionalFormatting sqref="B1817">
    <cfRule type="cellIs" dxfId="104" priority="133" stopIfTrue="1" operator="equal">
      <formula>"Cotação Balaroti"</formula>
    </cfRule>
  </conditionalFormatting>
  <conditionalFormatting sqref="A1818">
    <cfRule type="cellIs" dxfId="103" priority="131" stopIfTrue="1" operator="equal">
      <formula>"SINAPI"</formula>
    </cfRule>
  </conditionalFormatting>
  <conditionalFormatting sqref="B1821">
    <cfRule type="cellIs" dxfId="102" priority="126" stopIfTrue="1" operator="equal">
      <formula>"Cotação Balaroti"</formula>
    </cfRule>
  </conditionalFormatting>
  <conditionalFormatting sqref="A1821">
    <cfRule type="cellIs" dxfId="101" priority="129" stopIfTrue="1" operator="equal">
      <formula>"SINAPI"</formula>
    </cfRule>
  </conditionalFormatting>
  <conditionalFormatting sqref="B1824">
    <cfRule type="cellIs" dxfId="100" priority="124" stopIfTrue="1" operator="equal">
      <formula>"Cotação Balaroti"</formula>
    </cfRule>
  </conditionalFormatting>
  <conditionalFormatting sqref="A1828">
    <cfRule type="cellIs" dxfId="99" priority="120" stopIfTrue="1" operator="equal">
      <formula>"SINAPI"</formula>
    </cfRule>
  </conditionalFormatting>
  <conditionalFormatting sqref="B1828">
    <cfRule type="cellIs" dxfId="98" priority="119" stopIfTrue="1" operator="equal">
      <formula>"Cotação Balaroti"</formula>
    </cfRule>
  </conditionalFormatting>
  <conditionalFormatting sqref="A1824">
    <cfRule type="cellIs" dxfId="97" priority="125" stopIfTrue="1" operator="equal">
      <formula>"SINAPI"</formula>
    </cfRule>
  </conditionalFormatting>
  <conditionalFormatting sqref="B1823">
    <cfRule type="cellIs" dxfId="96" priority="122" stopIfTrue="1" operator="equal">
      <formula>"Cotação Balaroti"</formula>
    </cfRule>
  </conditionalFormatting>
  <conditionalFormatting sqref="A1823">
    <cfRule type="cellIs" dxfId="95" priority="123" stopIfTrue="1" operator="equal">
      <formula>"SINAPI"</formula>
    </cfRule>
  </conditionalFormatting>
  <conditionalFormatting sqref="B1838">
    <cfRule type="cellIs" dxfId="94" priority="105" stopIfTrue="1" operator="equal">
      <formula>"Cotação Balaroti"</formula>
    </cfRule>
  </conditionalFormatting>
  <conditionalFormatting sqref="A1838">
    <cfRule type="cellIs" dxfId="93" priority="106" stopIfTrue="1" operator="equal">
      <formula>"SINAPI"</formula>
    </cfRule>
  </conditionalFormatting>
  <conditionalFormatting sqref="B1827">
    <cfRule type="cellIs" dxfId="92" priority="118" stopIfTrue="1" operator="equal">
      <formula>"Cotação Balaroti"</formula>
    </cfRule>
  </conditionalFormatting>
  <conditionalFormatting sqref="A1827">
    <cfRule type="cellIs" dxfId="91" priority="121" stopIfTrue="1" operator="equal">
      <formula>"SINAPI"</formula>
    </cfRule>
  </conditionalFormatting>
  <conditionalFormatting sqref="B1829">
    <cfRule type="cellIs" dxfId="90" priority="116" stopIfTrue="1" operator="equal">
      <formula>"Cotação Balaroti"</formula>
    </cfRule>
  </conditionalFormatting>
  <conditionalFormatting sqref="A1829">
    <cfRule type="cellIs" dxfId="89" priority="117" stopIfTrue="1" operator="equal">
      <formula>"SINAPI"</formula>
    </cfRule>
  </conditionalFormatting>
  <conditionalFormatting sqref="B1834">
    <cfRule type="cellIs" dxfId="88" priority="108" stopIfTrue="1" operator="equal">
      <formula>"Cotação Balaroti"</formula>
    </cfRule>
  </conditionalFormatting>
  <conditionalFormatting sqref="A1834">
    <cfRule type="cellIs" dxfId="87" priority="109" stopIfTrue="1" operator="equal">
      <formula>"SINAPI"</formula>
    </cfRule>
  </conditionalFormatting>
  <conditionalFormatting sqref="A1833">
    <cfRule type="cellIs" dxfId="86" priority="112" stopIfTrue="1" operator="equal">
      <formula>"SINAPI"</formula>
    </cfRule>
  </conditionalFormatting>
  <conditionalFormatting sqref="B1833">
    <cfRule type="cellIs" dxfId="85" priority="111" stopIfTrue="1" operator="equal">
      <formula>"Cotação Balaroti"</formula>
    </cfRule>
  </conditionalFormatting>
  <conditionalFormatting sqref="B1832">
    <cfRule type="cellIs" dxfId="84" priority="110" stopIfTrue="1" operator="equal">
      <formula>"Cotação Balaroti"</formula>
    </cfRule>
  </conditionalFormatting>
  <conditionalFormatting sqref="A1832">
    <cfRule type="cellIs" dxfId="83" priority="113" stopIfTrue="1" operator="equal">
      <formula>"SINAPI"</formula>
    </cfRule>
  </conditionalFormatting>
  <conditionalFormatting sqref="B1840">
    <cfRule type="cellIs" dxfId="82" priority="102" stopIfTrue="1" operator="equal">
      <formula>"Cotação Balaroti"</formula>
    </cfRule>
  </conditionalFormatting>
  <conditionalFormatting sqref="A1840">
    <cfRule type="cellIs" dxfId="81" priority="103" stopIfTrue="1" operator="equal">
      <formula>"SINAPI"</formula>
    </cfRule>
  </conditionalFormatting>
  <conditionalFormatting sqref="B1839">
    <cfRule type="cellIs" dxfId="80" priority="100" stopIfTrue="1" operator="equal">
      <formula>"Cotação Balaroti"</formula>
    </cfRule>
  </conditionalFormatting>
  <conditionalFormatting sqref="A1839">
    <cfRule type="cellIs" dxfId="79" priority="101" stopIfTrue="1" operator="equal">
      <formula>"SINAPI"</formula>
    </cfRule>
  </conditionalFormatting>
  <conditionalFormatting sqref="A1844">
    <cfRule type="cellIs" dxfId="78" priority="98" stopIfTrue="1" operator="equal">
      <formula>"SINAPI"</formula>
    </cfRule>
  </conditionalFormatting>
  <conditionalFormatting sqref="B1844">
    <cfRule type="cellIs" dxfId="77" priority="97" stopIfTrue="1" operator="equal">
      <formula>"Cotação Balaroti"</formula>
    </cfRule>
  </conditionalFormatting>
  <conditionalFormatting sqref="B1837">
    <cfRule type="cellIs" dxfId="76" priority="104" stopIfTrue="1" operator="equal">
      <formula>"Cotação Balaroti"</formula>
    </cfRule>
  </conditionalFormatting>
  <conditionalFormatting sqref="A1837">
    <cfRule type="cellIs" dxfId="75" priority="107" stopIfTrue="1" operator="equal">
      <formula>"SINAPI"</formula>
    </cfRule>
  </conditionalFormatting>
  <conditionalFormatting sqref="B1845">
    <cfRule type="cellIs" dxfId="74" priority="92" stopIfTrue="1" operator="equal">
      <formula>"Cotação Balaroti"</formula>
    </cfRule>
  </conditionalFormatting>
  <conditionalFormatting sqref="A1845">
    <cfRule type="cellIs" dxfId="73" priority="93" stopIfTrue="1" operator="equal">
      <formula>"SINAPI"</formula>
    </cfRule>
  </conditionalFormatting>
  <conditionalFormatting sqref="B1846">
    <cfRule type="cellIs" dxfId="72" priority="94" stopIfTrue="1" operator="equal">
      <formula>"Cotação Balaroti"</formula>
    </cfRule>
  </conditionalFormatting>
  <conditionalFormatting sqref="A1846">
    <cfRule type="cellIs" dxfId="71" priority="95" stopIfTrue="1" operator="equal">
      <formula>"SINAPI"</formula>
    </cfRule>
  </conditionalFormatting>
  <conditionalFormatting sqref="B1854">
    <cfRule type="cellIs" dxfId="70" priority="66" stopIfTrue="1" operator="equal">
      <formula>"Cotação Balaroti"</formula>
    </cfRule>
  </conditionalFormatting>
  <conditionalFormatting sqref="A1854">
    <cfRule type="cellIs" dxfId="69" priority="67" stopIfTrue="1" operator="equal">
      <formula>"SINAPI"</formula>
    </cfRule>
  </conditionalFormatting>
  <conditionalFormatting sqref="B1843">
    <cfRule type="cellIs" dxfId="68" priority="96" stopIfTrue="1" operator="equal">
      <formula>"Cotação Balaroti"</formula>
    </cfRule>
  </conditionalFormatting>
  <conditionalFormatting sqref="A1843">
    <cfRule type="cellIs" dxfId="67" priority="99" stopIfTrue="1" operator="equal">
      <formula>"SINAPI"</formula>
    </cfRule>
  </conditionalFormatting>
  <conditionalFormatting sqref="A1863:A1864">
    <cfRule type="cellIs" dxfId="66" priority="84" stopIfTrue="1" operator="equal">
      <formula>"SINAPI"</formula>
    </cfRule>
  </conditionalFormatting>
  <conditionalFormatting sqref="B1864">
    <cfRule type="cellIs" dxfId="65" priority="83" stopIfTrue="1" operator="equal">
      <formula>"Cotação Balaroti"</formula>
    </cfRule>
  </conditionalFormatting>
  <conditionalFormatting sqref="A1858">
    <cfRule type="cellIs" dxfId="64" priority="91" stopIfTrue="1" operator="equal">
      <formula>"SINAPI"</formula>
    </cfRule>
  </conditionalFormatting>
  <conditionalFormatting sqref="B1850">
    <cfRule type="cellIs" dxfId="63" priority="89" stopIfTrue="1" operator="equal">
      <formula>"Cotação Balaroti"</formula>
    </cfRule>
  </conditionalFormatting>
  <conditionalFormatting sqref="A1850">
    <cfRule type="cellIs" dxfId="62" priority="90" stopIfTrue="1" operator="equal">
      <formula>"SINAPI"</formula>
    </cfRule>
  </conditionalFormatting>
  <conditionalFormatting sqref="B1851:B1853 B1855:B1857">
    <cfRule type="cellIs" dxfId="61" priority="87" stopIfTrue="1" operator="equal">
      <formula>"Cotação Balaroti"</formula>
    </cfRule>
  </conditionalFormatting>
  <conditionalFormatting sqref="B1869">
    <cfRule type="cellIs" dxfId="60" priority="74" stopIfTrue="1" operator="equal">
      <formula>"Cotação Balaroti"</formula>
    </cfRule>
  </conditionalFormatting>
  <conditionalFormatting sqref="B1870">
    <cfRule type="cellIs" dxfId="59" priority="75" stopIfTrue="1" operator="equal">
      <formula>"Cotação Balaroti"</formula>
    </cfRule>
  </conditionalFormatting>
  <conditionalFormatting sqref="A1851:A1853 A1855:A1857">
    <cfRule type="cellIs" dxfId="58" priority="88" stopIfTrue="1" operator="equal">
      <formula>"SINAPI"</formula>
    </cfRule>
  </conditionalFormatting>
  <conditionalFormatting sqref="B1863">
    <cfRule type="cellIs" dxfId="57" priority="82" stopIfTrue="1" operator="equal">
      <formula>"Cotação Balaroti"</formula>
    </cfRule>
  </conditionalFormatting>
  <conditionalFormatting sqref="A1869:A1870">
    <cfRule type="cellIs" dxfId="56" priority="76" stopIfTrue="1" operator="equal">
      <formula>"SINAPI"</formula>
    </cfRule>
  </conditionalFormatting>
  <conditionalFormatting sqref="A1868">
    <cfRule type="cellIs" dxfId="55" priority="73" stopIfTrue="1" operator="equal">
      <formula>"SINAPI"</formula>
    </cfRule>
  </conditionalFormatting>
  <conditionalFormatting sqref="B1868">
    <cfRule type="cellIs" dxfId="54" priority="72" stopIfTrue="1" operator="equal">
      <formula>"Cotação Balaroti"</formula>
    </cfRule>
  </conditionalFormatting>
  <conditionalFormatting sqref="B1872">
    <cfRule type="cellIs" dxfId="53" priority="70" stopIfTrue="1" operator="equal">
      <formula>"Cotação Balaroti"</formula>
    </cfRule>
  </conditionalFormatting>
  <conditionalFormatting sqref="A1872">
    <cfRule type="cellIs" dxfId="52" priority="71" stopIfTrue="1" operator="equal">
      <formula>"SINAPI"</formula>
    </cfRule>
  </conditionalFormatting>
  <conditionalFormatting sqref="B1871">
    <cfRule type="cellIs" dxfId="51" priority="68" stopIfTrue="1" operator="equal">
      <formula>"Cotação Balaroti"</formula>
    </cfRule>
  </conditionalFormatting>
  <conditionalFormatting sqref="A1871">
    <cfRule type="cellIs" dxfId="50" priority="69" stopIfTrue="1" operator="equal">
      <formula>"SINAPI"</formula>
    </cfRule>
  </conditionalFormatting>
  <conditionalFormatting sqref="B1886">
    <cfRule type="cellIs" dxfId="49" priority="63" stopIfTrue="1" operator="equal">
      <formula>"Cotação Balaroti"</formula>
    </cfRule>
  </conditionalFormatting>
  <conditionalFormatting sqref="A1887">
    <cfRule type="cellIs" dxfId="48" priority="62" stopIfTrue="1" operator="equal">
      <formula>"SINAPI"</formula>
    </cfRule>
  </conditionalFormatting>
  <conditionalFormatting sqref="B1888">
    <cfRule type="cellIs" dxfId="47" priority="64" stopIfTrue="1" operator="equal">
      <formula>"Cotação Balaroti"</formula>
    </cfRule>
  </conditionalFormatting>
  <conditionalFormatting sqref="B1887">
    <cfRule type="cellIs" dxfId="46" priority="61" stopIfTrue="1" operator="equal">
      <formula>"Cotação Balaroti"</formula>
    </cfRule>
  </conditionalFormatting>
  <conditionalFormatting sqref="B1881">
    <cfRule type="cellIs" dxfId="45" priority="45" stopIfTrue="1" operator="equal">
      <formula>"Cotação Balaroti"</formula>
    </cfRule>
  </conditionalFormatting>
  <conditionalFormatting sqref="A1881">
    <cfRule type="cellIs" dxfId="44" priority="46" stopIfTrue="1" operator="equal">
      <formula>"SINAPI"</formula>
    </cfRule>
  </conditionalFormatting>
  <conditionalFormatting sqref="A1878">
    <cfRule type="cellIs" dxfId="43" priority="56" stopIfTrue="1" operator="equal">
      <formula>"SINAPI"</formula>
    </cfRule>
  </conditionalFormatting>
  <conditionalFormatting sqref="B1878">
    <cfRule type="cellIs" dxfId="42" priority="55" stopIfTrue="1" operator="equal">
      <formula>"Cotação Balaroti"</formula>
    </cfRule>
  </conditionalFormatting>
  <conditionalFormatting sqref="A1877">
    <cfRule type="cellIs" dxfId="41" priority="54" stopIfTrue="1" operator="equal">
      <formula>"SINAPI"</formula>
    </cfRule>
  </conditionalFormatting>
  <conditionalFormatting sqref="B1877">
    <cfRule type="cellIs" dxfId="40" priority="53" stopIfTrue="1" operator="equal">
      <formula>"Cotação Balaroti"</formula>
    </cfRule>
  </conditionalFormatting>
  <conditionalFormatting sqref="B1876">
    <cfRule type="cellIs" dxfId="39" priority="51" stopIfTrue="1" operator="equal">
      <formula>"Cotação Balaroti"</formula>
    </cfRule>
  </conditionalFormatting>
  <conditionalFormatting sqref="A1876">
    <cfRule type="cellIs" dxfId="38" priority="52" stopIfTrue="1" operator="equal">
      <formula>"SINAPI"</formula>
    </cfRule>
  </conditionalFormatting>
  <conditionalFormatting sqref="A1883">
    <cfRule type="cellIs" dxfId="37" priority="50" stopIfTrue="1" operator="equal">
      <formula>"SINAPI"</formula>
    </cfRule>
  </conditionalFormatting>
  <conditionalFormatting sqref="B1883">
    <cfRule type="cellIs" dxfId="36" priority="49" stopIfTrue="1" operator="equal">
      <formula>"Cotação Balaroti"</formula>
    </cfRule>
  </conditionalFormatting>
  <conditionalFormatting sqref="A1882">
    <cfRule type="cellIs" dxfId="35" priority="48" stopIfTrue="1" operator="equal">
      <formula>"SINAPI"</formula>
    </cfRule>
  </conditionalFormatting>
  <conditionalFormatting sqref="B1882">
    <cfRule type="cellIs" dxfId="34" priority="47" stopIfTrue="1" operator="equal">
      <formula>"Cotação Balaroti"</formula>
    </cfRule>
  </conditionalFormatting>
  <conditionalFormatting sqref="A1897">
    <cfRule type="cellIs" dxfId="33" priority="44" stopIfTrue="1" operator="equal">
      <formula>"SINAPI"</formula>
    </cfRule>
  </conditionalFormatting>
  <conditionalFormatting sqref="B1896">
    <cfRule type="cellIs" dxfId="32" priority="38" stopIfTrue="1" operator="equal">
      <formula>"Cotação Balaroti"</formula>
    </cfRule>
  </conditionalFormatting>
  <conditionalFormatting sqref="A1896">
    <cfRule type="cellIs" dxfId="31" priority="39" stopIfTrue="1" operator="equal">
      <formula>"SINAPI"</formula>
    </cfRule>
  </conditionalFormatting>
  <conditionalFormatting sqref="B1897">
    <cfRule type="cellIs" dxfId="30" priority="43" stopIfTrue="1" operator="equal">
      <formula>"Cotação Balaroti"</formula>
    </cfRule>
  </conditionalFormatting>
  <conditionalFormatting sqref="B1862">
    <cfRule type="cellIs" dxfId="29" priority="32" stopIfTrue="1" operator="equal">
      <formula>"Cotação Balaroti"</formula>
    </cfRule>
  </conditionalFormatting>
  <conditionalFormatting sqref="A1860">
    <cfRule type="cellIs" dxfId="28" priority="37" stopIfTrue="1" operator="equal">
      <formula>"SINAPI"</formula>
    </cfRule>
  </conditionalFormatting>
  <conditionalFormatting sqref="B1860">
    <cfRule type="cellIs" dxfId="27" priority="36" stopIfTrue="1" operator="equal">
      <formula>"Cotação Balaroti"</formula>
    </cfRule>
  </conditionalFormatting>
  <conditionalFormatting sqref="A1865">
    <cfRule type="cellIs" dxfId="26" priority="31" stopIfTrue="1" operator="equal">
      <formula>"SINAPI"</formula>
    </cfRule>
  </conditionalFormatting>
  <conditionalFormatting sqref="B1865">
    <cfRule type="cellIs" dxfId="25" priority="30" stopIfTrue="1" operator="equal">
      <formula>"Cotação Balaroti"</formula>
    </cfRule>
  </conditionalFormatting>
  <conditionalFormatting sqref="B1861">
    <cfRule type="cellIs" dxfId="24" priority="34" stopIfTrue="1" operator="equal">
      <formula>"Cotação Balaroti"</formula>
    </cfRule>
  </conditionalFormatting>
  <conditionalFormatting sqref="A1861">
    <cfRule type="cellIs" dxfId="23" priority="35" stopIfTrue="1" operator="equal">
      <formula>"SINAPI"</formula>
    </cfRule>
  </conditionalFormatting>
  <conditionalFormatting sqref="A1862">
    <cfRule type="cellIs" dxfId="22" priority="33" stopIfTrue="1" operator="equal">
      <formula>"SINAPI"</formula>
    </cfRule>
  </conditionalFormatting>
  <conditionalFormatting sqref="A1893 A1891">
    <cfRule type="cellIs" dxfId="21" priority="29" stopIfTrue="1" operator="equal">
      <formula>"SINAPI"</formula>
    </cfRule>
  </conditionalFormatting>
  <conditionalFormatting sqref="B1891">
    <cfRule type="cellIs" dxfId="20" priority="27" stopIfTrue="1" operator="equal">
      <formula>"Cotação Balaroti"</formula>
    </cfRule>
  </conditionalFormatting>
  <conditionalFormatting sqref="A1892">
    <cfRule type="cellIs" dxfId="19" priority="26" stopIfTrue="1" operator="equal">
      <formula>"SINAPI"</formula>
    </cfRule>
  </conditionalFormatting>
  <conditionalFormatting sqref="B1893">
    <cfRule type="cellIs" dxfId="18" priority="28" stopIfTrue="1" operator="equal">
      <formula>"Cotação Balaroti"</formula>
    </cfRule>
  </conditionalFormatting>
  <conditionalFormatting sqref="B1892">
    <cfRule type="cellIs" dxfId="17" priority="25" stopIfTrue="1" operator="equal">
      <formula>"Cotação Balaroti"</formula>
    </cfRule>
  </conditionalFormatting>
  <conditionalFormatting sqref="A1905 A1902">
    <cfRule type="cellIs" dxfId="16" priority="20" stopIfTrue="1" operator="equal">
      <formula>"SINAPI"</formula>
    </cfRule>
  </conditionalFormatting>
  <conditionalFormatting sqref="B1902">
    <cfRule type="cellIs" dxfId="15" priority="18" stopIfTrue="1" operator="equal">
      <formula>"Cotação Balaroti"</formula>
    </cfRule>
  </conditionalFormatting>
  <conditionalFormatting sqref="B1905">
    <cfRule type="cellIs" dxfId="14" priority="19" stopIfTrue="1" operator="equal">
      <formula>"Cotação Balaroti"</formula>
    </cfRule>
  </conditionalFormatting>
  <conditionalFormatting sqref="B1910">
    <cfRule type="cellIs" dxfId="13" priority="9" stopIfTrue="1" operator="equal">
      <formula>"Cotação Balaroti"</formula>
    </cfRule>
  </conditionalFormatting>
  <conditionalFormatting sqref="B1901">
    <cfRule type="cellIs" dxfId="12" priority="14" stopIfTrue="1" operator="equal">
      <formula>"Cotação Balaroti"</formula>
    </cfRule>
  </conditionalFormatting>
  <conditionalFormatting sqref="A1901">
    <cfRule type="cellIs" dxfId="11" priority="15" stopIfTrue="1" operator="equal">
      <formula>"SINAPI"</formula>
    </cfRule>
  </conditionalFormatting>
  <conditionalFormatting sqref="A1903:A1904">
    <cfRule type="cellIs" dxfId="10" priority="13" stopIfTrue="1" operator="equal">
      <formula>"SINAPI"</formula>
    </cfRule>
  </conditionalFormatting>
  <conditionalFormatting sqref="B1903:B1904">
    <cfRule type="cellIs" dxfId="9" priority="12" stopIfTrue="1" operator="equal">
      <formula>"Cotação Balaroti"</formula>
    </cfRule>
  </conditionalFormatting>
  <conditionalFormatting sqref="A1910">
    <cfRule type="cellIs" dxfId="8" priority="11" stopIfTrue="1" operator="equal">
      <formula>"SINAPI"</formula>
    </cfRule>
  </conditionalFormatting>
  <conditionalFormatting sqref="B1909">
    <cfRule type="cellIs" dxfId="7" priority="7" stopIfTrue="1" operator="equal">
      <formula>"Cotação Balaroti"</formula>
    </cfRule>
  </conditionalFormatting>
  <conditionalFormatting sqref="A1909">
    <cfRule type="cellIs" dxfId="6" priority="8" stopIfTrue="1" operator="equal">
      <formula>"SINAPI"</formula>
    </cfRule>
  </conditionalFormatting>
  <conditionalFormatting sqref="A1911">
    <cfRule type="cellIs" dxfId="5" priority="6" stopIfTrue="1" operator="equal">
      <formula>"SINAPI"</formula>
    </cfRule>
  </conditionalFormatting>
  <conditionalFormatting sqref="B1911">
    <cfRule type="cellIs" dxfId="4" priority="5" stopIfTrue="1" operator="equal">
      <formula>"Cotação Balaroti"</formula>
    </cfRule>
  </conditionalFormatting>
  <conditionalFormatting sqref="B1784">
    <cfRule type="cellIs" dxfId="3" priority="3" stopIfTrue="1" operator="equal">
      <formula>"Cotação Balaroti"</formula>
    </cfRule>
  </conditionalFormatting>
  <conditionalFormatting sqref="A1784">
    <cfRule type="cellIs" dxfId="2" priority="4" stopIfTrue="1" operator="equal">
      <formula>"SINAPI"</formula>
    </cfRule>
  </conditionalFormatting>
  <conditionalFormatting sqref="B1792">
    <cfRule type="cellIs" dxfId="1" priority="1" stopIfTrue="1" operator="equal">
      <formula>"Cotação Balaroti"</formula>
    </cfRule>
  </conditionalFormatting>
  <conditionalFormatting sqref="A1792">
    <cfRule type="cellIs" dxfId="0" priority="2" stopIfTrue="1" operator="equal">
      <formula>"SINAPI"</formula>
    </cfRule>
  </conditionalFormatting>
  <dataValidations disablePrompts="1" count="2">
    <dataValidation allowBlank="1" showInputMessage="1" showErrorMessage="1" prompt="Este valor não deve ser alterado, altere o custo do insuno." sqref="F273 F686:F693 F929:F935 F479:F485 F1251 F1625 F1600:F1602 F19:F24 F31:F33 F1215:F1217 F45:F53 F55:F56 F63:F64 F67 F70:F71 F74:F75 F78 F81 F84 F87 F90 F107:F115 F117:F123 F126:F128 F131:F135 F1234:F1236 F154:F165 F167:F178 F181:F191 F194:F205 F207:F218 F220:F225 F253:F257 F796:F797 F267:F270 F462:F465 F468:F470 F473:F475 F488:F494 F247 F295:F326 F330:F333 F336:F339 F344:F346 F349:F352 F357:F358 F370:F371 F378:F379 F389:F390 F396:F397 F411 F415 F419 F423 F428:F429 F434:F435 F439:F440 F444:F445 F449:F450 F456 F99:F100 F500:F501 F504 F507:F508 F511 F514 F517 F520 F523 F537:F544 F547:F553 F561:F565 F556:F558 F584:F595 F597:F608 F611:F621 F632:F635 F624:F629 F639 F645:F649 F660 F666:F670 F675 F696:F726 F730:F733 F736:F739 F745:F747 F752:F753 F765:F766 F773:F774 F784:F785 F791:F792 F806 F810 F814 F818 F822 F825:F826 F830:F831 F835:F836 F840:F841 F847 F855:F856 F859:F860 F883:F884 F873:F874 F920:F926 F903:F906 F909:F911 F914:F916 F938:F944 F950:F951 F954:F955 F1164:F1175 F985:F988 F1005:F1010 F1018:F1033 F1037:F1040 F1045:F1046 F1051 F1055 F1077:F1083 F1061:F1064 F1067:F1069 F1072:F1074 F1091:F1092 F1095 F1112:F1120 F1122:F1128 F1131:F1133 F1136:F1140 F1153:F1154 F1177:F1188 F1190:F1193 F972:F983 F887:F890 F1201:F1203 F1224:F1228 F1241:F1245 F1272:F1294 F1298:F1301 F1306:F1308 F1313:F1314 F1338:F1339 F1349 F1353 F1357 F1361 F1365:F1366 F1369:F1370 F1380:F1382 F1399:F1405 F1388:F1391 F1394:F1396 F1446:F1451 F1469:F1477 F1479:F1485 F1488:F1490 F1493:F1497 F1501:F1509 F1511:F1517 F1520:F1522 F1525:F1529 F1533:F1541 F1543:F1549 F1552:F1554 F1557:F1561 F1568:F1571 F1577:F1581 F1585:F1589 F1595:F1597 F1606:F1621 F1631:F1633 F1262:F1269 F1412:F1413 F1416:F1417 F1426:F1427 F1430:F1431 F1635:F1640 F1684:F1686 F1706:F1708 F1646 F1651:F1661 F1691:F1697 F1664:F1669 F1098 F1208:F1210 F40:F42 F1700:F1703 F1717:F1719 F1722:F1724 F1733:F1735 F1727:F1728 F1747:F1749 F1752:F1753 F1740:F1744 F1773:F1774 F1758 JB1761:JB1765 F1761:F1765 WVN1761:WVN1765 WLR1761:WLR1765 WBV1761:WBV1765 VRZ1761:VRZ1765 VID1761:VID1765 UYH1761:UYH1765 UOL1761:UOL1765 UEP1761:UEP1765 TUT1761:TUT1765 TKX1761:TKX1765 TBB1761:TBB1765 SRF1761:SRF1765 SHJ1761:SHJ1765 RXN1761:RXN1765 RNR1761:RNR1765 RDV1761:RDV1765 QTZ1761:QTZ1765 QKD1761:QKD1765 QAH1761:QAH1765 PQL1761:PQL1765 PGP1761:PGP1765 OWT1761:OWT1765 OMX1761:OMX1765 ODB1761:ODB1765 NTF1761:NTF1765 NJJ1761:NJJ1765 MZN1761:MZN1765 MPR1761:MPR1765 MFV1761:MFV1765 LVZ1761:LVZ1765 LMD1761:LMD1765 LCH1761:LCH1765 KSL1761:KSL1765 KIP1761:KIP1765 JYT1761:JYT1765 JOX1761:JOX1765 JFB1761:JFB1765 IVF1761:IVF1765 ILJ1761:ILJ1765 IBN1761:IBN1765 HRR1761:HRR1765 HHV1761:HHV1765 GXZ1761:GXZ1765 GOD1761:GOD1765 GEH1761:GEH1765 FUL1761:FUL1765 FKP1761:FKP1765 FAT1761:FAT1765 EQX1761:EQX1765 EHB1761:EHB1765 DXF1761:DXF1765 DNJ1761:DNJ1765 DDN1761:DDN1765 CTR1761:CTR1765 CJV1761:CJV1765 BZZ1761:BZZ1765 BQD1761:BQD1765 BGH1761:BGH1765 AWL1761:AWL1765 AMP1761:AMP1765 ACT1761:ACT1765 SX1761:SX1765 F1767:F1769 WVN1767:WVN1769 WLR1767:WLR1769 WBV1767:WBV1769 VRZ1767:VRZ1769 VID1767:VID1769 UYH1767:UYH1769 UOL1767:UOL1769 UEP1767:UEP1769 TUT1767:TUT1769 TKX1767:TKX1769 TBB1767:TBB1769 SRF1767:SRF1769 SHJ1767:SHJ1769 RXN1767:RXN1769 RNR1767:RNR1769 RDV1767:RDV1769 QTZ1767:QTZ1769 QKD1767:QKD1769 QAH1767:QAH1769 PQL1767:PQL1769 PGP1767:PGP1769 OWT1767:OWT1769 OMX1767:OMX1769 ODB1767:ODB1769 NTF1767:NTF1769 NJJ1767:NJJ1769 MZN1767:MZN1769 MPR1767:MPR1769 MFV1767:MFV1769 LVZ1767:LVZ1769 LMD1767:LMD1769 LCH1767:LCH1769 KSL1767:KSL1769 KIP1767:KIP1769 JYT1767:JYT1769 JOX1767:JOX1769 JFB1767:JFB1769 IVF1767:IVF1769 ILJ1767:ILJ1769 IBN1767:IBN1769 HRR1767:HRR1769 HHV1767:HHV1769 GXZ1767:GXZ1769 GOD1767:GOD1769 GEH1767:GEH1769 FUL1767:FUL1769 FKP1767:FKP1769 FAT1767:FAT1769 EQX1767:EQX1769 EHB1767:EHB1769 DXF1767:DXF1769 DNJ1767:DNJ1769 DDN1767:DDN1769 CTR1767:CTR1769 CJV1767:CJV1769 BZZ1767:BZZ1769 BQD1767:BQD1769 BGH1767:BGH1769 AWL1767:AWL1769 AMP1767:AMP1769 ACT1767:ACT1769 SX1767:SX1769 JB1767:JB1769 F260:F262 F652:F654 F228:F231 F233:F238 F869:F870 F1195:F1197 F1325:F1326 F1375:F1376 F1673:F1678 F1001 F992:F997 F401:F402 F279:F283 F1788:F1790 WVN1788 WVN1790 WLR1788 WLR1790 WBV1788 WBV1790 VRZ1788 VRZ1790 VID1788 VID1790 UYH1788 UYH1790 UOL1788 UOL1790 UEP1788 UEP1790 TUT1788 TUT1790 TKX1788 TKX1790 TBB1788 TBB1790 SRF1788 SRF1790 SHJ1788 SHJ1790 RXN1788 RXN1790 RNR1788 RNR1790 RDV1788 RDV1790 QTZ1788 QTZ1790 QKD1788 QKD1790 QAH1788 QAH1790 PQL1788 PQL1790 PGP1788 PGP1790 OWT1788 OWT1790 OMX1788 OMX1790 ODB1788 ODB1790 NTF1788 NTF1790 NJJ1788 NJJ1790 MZN1788 MZN1790 MPR1788 MPR1790 MFV1788 MFV1790 LVZ1788 LVZ1790 LMD1788 LMD1790 LCH1788 LCH1790 KSL1788 KSL1790 KIP1788 KIP1790 JYT1788 JYT1790 JOX1788 JOX1790 JFB1788 JFB1790 IVF1788 IVF1790 ILJ1788 ILJ1790 IBN1788 IBN1790 HRR1788 HRR1790 HHV1788 HHV1790 GXZ1788 GXZ1790 GOD1788 GOD1790 GEH1788 GEH1790 FUL1788 FUL1790 FKP1788 FKP1790 FAT1788 FAT1790 EQX1788 EQX1790 EHB1788 EHB1790 DXF1788 DXF1790 DNJ1788 DNJ1790 DDN1788 DDN1790 CTR1788 CTR1790 CJV1788 CJV1790 BZZ1788 BZZ1790 BQD1788 BQD1790 BGH1788 BGH1790 AWL1788 AWL1790 AMP1788 AMP1790 ACT1788 ACT1790 SX1788 SX1790 JB1788 JB1790 F1780:F1782 WVN1780 WVN1782 WLR1780 WLR1782 WBV1780 WBV1782 VRZ1780 VRZ1782 VID1780 VID1782 UYH1780 UYH1782 UOL1780 UOL1782 UEP1780 UEP1782 TUT1780 TUT1782 TKX1780 TKX1782 TBB1780 TBB1782 SRF1780 SRF1782 SHJ1780 SHJ1782 RXN1780 RXN1782 RNR1780 RNR1782 RDV1780 RDV1782 QTZ1780 QTZ1782 QKD1780 QKD1782 QAH1780 QAH1782 PQL1780 PQL1782 PGP1780 PGP1782 OWT1780 OWT1782 OMX1780 OMX1782 ODB1780 ODB1782 NTF1780 NTF1782 NJJ1780 NJJ1782 MZN1780 MZN1782 MPR1780 MPR1782 MFV1780 MFV1782 LVZ1780 LVZ1782 LMD1780 LMD1782 LCH1780 LCH1782 KSL1780 KSL1782 KIP1780 KIP1782 JYT1780 JYT1782 JOX1780 JOX1782 JFB1780 JFB1782 IVF1780 IVF1782 ILJ1780 ILJ1782 IBN1780 IBN1782 HRR1780 HRR1782 HHV1780 HHV1782 GXZ1780 GXZ1782 GOD1780 GOD1782 GEH1780 GEH1782 FUL1780 FUL1782 FKP1780 FKP1782 FAT1780 FAT1782 EQX1780 EQX1782 EHB1780 EHB1782 DXF1780 DXF1782 DNJ1780 DNJ1782 DDN1780 DDN1782 CTR1780 CTR1782 CJV1780 CJV1782 BZZ1780 BZZ1782 BQD1780 BQD1782 BGH1780 BGH1782 AWL1780 AWL1782 AMP1780 AMP1782 ACT1780 ACT1782 SX1780 SX1782 JB1780 JB1782 F1796:F1798 WVN1796 WVN1798 WLR1796 WLR1798 WBV1796 WBV1798 VRZ1796 VRZ1798 VID1796 VID1798 UYH1796 UYH1798 UOL1796 UOL1798 UEP1796 UEP1798 TUT1796 TUT1798 TKX1796 TKX1798 TBB1796 TBB1798 SRF1796 SRF1798 SHJ1796 SHJ1798 RXN1796 RXN1798 RNR1796 RNR1798 RDV1796 RDV1798 QTZ1796 QTZ1798 QKD1796 QKD1798 QAH1796 QAH1798 PQL1796 PQL1798 PGP1796 PGP1798 OWT1796 OWT1798 OMX1796 OMX1798 ODB1796 ODB1798 NTF1796 NTF1798 NJJ1796 NJJ1798 MZN1796 MZN1798 MPR1796 MPR1798 MFV1796 MFV1798 LVZ1796 LVZ1798 LMD1796 LMD1798 LCH1796 LCH1798 KSL1796 KSL1798 KIP1796 KIP1798 JYT1796 JYT1798 JOX1796 JOX1798 JFB1796 JFB1798 IVF1796 IVF1798 ILJ1796 ILJ1798 IBN1796 IBN1798 HRR1796 HRR1798 HHV1796 HHV1798 GXZ1796 GXZ1798 GOD1796 GOD1798 GEH1796 GEH1798 FUL1796 FUL1798 FKP1796 FKP1798 FAT1796 FAT1798 EQX1796 EQX1798 EHB1796 EHB1798 DXF1796 DXF1798 DNJ1796 DNJ1798 DDN1796 DDN1798 CTR1796 CTR1798 CJV1796 CJV1798 BZZ1796 BZZ1798 BQD1796 BQD1798 BGH1796 BGH1798 AWL1796 AWL1798 AMP1796 AMP1798 ACT1796 ACT1798 SX1796 SX1798 JB1796 JB1798 F1803:F1805 WVN1803 WVN1805 WLR1803 WLR1805 WBV1803 WBV1805 VRZ1803 VRZ1805 VID1803 VID1805 UYH1803 UYH1805 UOL1803 UOL1805 UEP1803 UEP1805 TUT1803 TUT1805 TKX1803 TKX1805 TBB1803 TBB1805 SRF1803 SRF1805 SHJ1803 SHJ1805 RXN1803 RXN1805 RNR1803 RNR1805 RDV1803 RDV1805 QTZ1803 QTZ1805 QKD1803 QKD1805 QAH1803 QAH1805 PQL1803 PQL1805 PGP1803 PGP1805 OWT1803 OWT1805 OMX1803 OMX1805 ODB1803 ODB1805 NTF1803 NTF1805 NJJ1803 NJJ1805 MZN1803 MZN1805 MPR1803 MPR1805 MFV1803 MFV1805 LVZ1803 LVZ1805 LMD1803 LMD1805 LCH1803 LCH1805 KSL1803 KSL1805 KIP1803 KIP1805 JYT1803 JYT1805 JOX1803 JOX1805 JFB1803 JFB1805 IVF1803 IVF1805 ILJ1803 ILJ1805 IBN1803 IBN1805 HRR1803 HRR1805 HHV1803 HHV1805 GXZ1803 GXZ1805 GOD1803 GOD1805 GEH1803 GEH1805 FUL1803 FUL1805 FKP1803 FKP1805 FAT1803 FAT1805 EQX1803 EQX1805 EHB1803 EHB1805 DXF1803 DXF1805 DNJ1803 DNJ1805 DDN1803 DDN1805 CTR1803 CTR1805 CJV1803 CJV1805 BZZ1803 BZZ1805 BQD1803 BQD1805 BGH1803 BGH1805 AWL1803 AWL1805 AMP1803 AMP1805 ACT1803 ACT1805 SX1803 SX1805 JB1803 JB1805 F1810:F1812 WVN1810 WVN1812 WLR1810 WLR1812 WBV1810 WBV1812 VRZ1810 VRZ1812 VID1810 VID1812 UYH1810 UYH1812 UOL1810 UOL1812 UEP1810 UEP1812 TUT1810 TUT1812 TKX1810 TKX1812 TBB1810 TBB1812 SRF1810 SRF1812 SHJ1810 SHJ1812 RXN1810 RXN1812 RNR1810 RNR1812 RDV1810 RDV1812 QTZ1810 QTZ1812 QKD1810 QKD1812 QAH1810 QAH1812 PQL1810 PQL1812 PGP1810 PGP1812 OWT1810 OWT1812 OMX1810 OMX1812 ODB1810 ODB1812 NTF1810 NTF1812 NJJ1810 NJJ1812 MZN1810 MZN1812 MPR1810 MPR1812 MFV1810 MFV1812 LVZ1810 LVZ1812 LMD1810 LMD1812 LCH1810 LCH1812 KSL1810 KSL1812 KIP1810 KIP1812 JYT1810 JYT1812 JOX1810 JOX1812 JFB1810 JFB1812 IVF1810 IVF1812 ILJ1810 ILJ1812 IBN1810 IBN1812 HRR1810 HRR1812 HHV1810 HHV1812 GXZ1810 GXZ1812 GOD1810 GOD1812 GEH1810 GEH1812 FUL1810 FUL1812 FKP1810 FKP1812 FAT1810 FAT1812 EQX1810 EQX1812 EHB1810 EHB1812 DXF1810 DXF1812 DNJ1810 DNJ1812 DDN1810 DDN1812 CTR1810 CTR1812 CJV1810 CJV1812 BZZ1810 BZZ1812 BQD1810 BQD1812 BGH1810 BGH1812 AWL1810 AWL1812 AMP1810 AMP1812 ACT1810 ACT1812 SX1810 SX1812 JB1810 JB1812 F1816:F1817 WVN1816 WLR1816 WBV1816 VRZ1816 VID1816 UYH1816 UOL1816 UEP1816 TUT1816 TKX1816 TBB1816 SRF1816 SHJ1816 RXN1816 RNR1816 RDV1816 QTZ1816 QKD1816 QAH1816 PQL1816 PGP1816 OWT1816 OMX1816 ODB1816 NTF1816 NJJ1816 MZN1816 MPR1816 MFV1816 LVZ1816 LMD1816 LCH1816 KSL1816 KIP1816 JYT1816 JOX1816 JFB1816 IVF1816 ILJ1816 IBN1816 HRR1816 HHV1816 GXZ1816 GOD1816 GEH1816 FUL1816 FKP1816 FAT1816 EQX1816 EHB1816 DXF1816 DNJ1816 DDN1816 CTR1816 CJV1816 BZZ1816 BQD1816 BGH1816 AWL1816 AMP1816 ACT1816 SX1816 JB1816 JB1821 WVN1821 WLR1821 WBV1821 VRZ1821 VID1821 UYH1821 UOL1821 UEP1821 TUT1821 TKX1821 TBB1821 SRF1821 SHJ1821 RXN1821 RNR1821 RDV1821 QTZ1821 QKD1821 QAH1821 PQL1821 PGP1821 OWT1821 OMX1821 ODB1821 NTF1821 NJJ1821 MZN1821 MPR1821 MFV1821 LVZ1821 LMD1821 LCH1821 KSL1821 KIP1821 JYT1821 JOX1821 JFB1821 IVF1821 ILJ1821 IBN1821 HRR1821 HHV1821 GXZ1821 GOD1821 GEH1821 FUL1821 FKP1821 FAT1821 EQX1821 EHB1821 DXF1821 DNJ1821 DDN1821 CTR1821 CJV1821 BZZ1821 BQD1821 BGH1821 AWL1821 AMP1821 ACT1821 SX1821 F1821:F1823 WVN1823 WLR1823 WBV1823 VRZ1823 VID1823 UYH1823 UOL1823 UEP1823 TUT1823 TKX1823 TBB1823 SRF1823 SHJ1823 RXN1823 RNR1823 RDV1823 QTZ1823 QKD1823 QAH1823 PQL1823 PGP1823 OWT1823 OMX1823 ODB1823 NTF1823 NJJ1823 MZN1823 MPR1823 MFV1823 LVZ1823 LMD1823 LCH1823 KSL1823 KIP1823 JYT1823 JOX1823 JFB1823 IVF1823 ILJ1823 IBN1823 HRR1823 HHV1823 GXZ1823 GOD1823 GEH1823 FUL1823 FKP1823 FAT1823 EQX1823 EHB1823 DXF1823 DNJ1823 DDN1823 CTR1823 CJV1823 BZZ1823 BQD1823 BGH1823 AWL1823 AMP1823 ACT1823 SX1823 JB1823 JB1827 WVN1827 WLR1827 WBV1827 VRZ1827 VID1827 UYH1827 UOL1827 UEP1827 TUT1827 TKX1827 TBB1827 SRF1827 SHJ1827 RXN1827 RNR1827 RDV1827 QTZ1827 QKD1827 QAH1827 PQL1827 PGP1827 OWT1827 OMX1827 ODB1827 NTF1827 NJJ1827 MZN1827 MPR1827 MFV1827 LVZ1827 LMD1827 LCH1827 KSL1827 KIP1827 JYT1827 JOX1827 JFB1827 IVF1827 ILJ1827 IBN1827 HRR1827 HHV1827 GXZ1827 GOD1827 GEH1827 FUL1827 FKP1827 FAT1827 EQX1827 EHB1827 DXF1827 DNJ1827 DDN1827 CTR1827 CJV1827 BZZ1827 BQD1827 BGH1827 AWL1827 AMP1827 ACT1827 SX1827 F1827:F1828 JB1832 WVN1832 WLR1832 WBV1832 VRZ1832 VID1832 UYH1832 UOL1832 UEP1832 TUT1832 TKX1832 TBB1832 SRF1832 SHJ1832 RXN1832 RNR1832 RDV1832 QTZ1832 QKD1832 QAH1832 PQL1832 PGP1832 OWT1832 OMX1832 ODB1832 NTF1832 NJJ1832 MZN1832 MPR1832 MFV1832 LVZ1832 LMD1832 LCH1832 KSL1832 KIP1832 JYT1832 JOX1832 JFB1832 IVF1832 ILJ1832 IBN1832 HRR1832 HHV1832 GXZ1832 GOD1832 GEH1832 FUL1832 FKP1832 FAT1832 EQX1832 EHB1832 DXF1832 DNJ1832 DDN1832 CTR1832 CJV1832 BZZ1832 BQD1832 BGH1832 AWL1832 AMP1832 ACT1832 SX1832 F1832:F1833 JB1837 WVN1837 WLR1837 WBV1837 VRZ1837 VID1837 UYH1837 UOL1837 UEP1837 TUT1837 TKX1837 TBB1837 SRF1837 SHJ1837 RXN1837 RNR1837 RDV1837 QTZ1837 QKD1837 QAH1837 PQL1837 PGP1837 OWT1837 OMX1837 ODB1837 NTF1837 NJJ1837 MZN1837 MPR1837 MFV1837 LVZ1837 LMD1837 LCH1837 KSL1837 KIP1837 JYT1837 JOX1837 JFB1837 IVF1837 ILJ1837 IBN1837 HRR1837 HHV1837 GXZ1837 GOD1837 GEH1837 FUL1837 FKP1837 FAT1837 EQX1837 EHB1837 DXF1837 DNJ1837 DDN1837 CTR1837 CJV1837 BZZ1837 BQD1837 BGH1837 AWL1837 AMP1837 ACT1837 SX1837 F1837:F1839 WVN1839 WLR1839 WBV1839 VRZ1839 VID1839 UYH1839 UOL1839 UEP1839 TUT1839 TKX1839 TBB1839 SRF1839 SHJ1839 RXN1839 RNR1839 RDV1839 QTZ1839 QKD1839 QAH1839 PQL1839 PGP1839 OWT1839 OMX1839 ODB1839 NTF1839 NJJ1839 MZN1839 MPR1839 MFV1839 LVZ1839 LMD1839 LCH1839 KSL1839 KIP1839 JYT1839 JOX1839 JFB1839 IVF1839 ILJ1839 IBN1839 HRR1839 HHV1839 GXZ1839 GOD1839 GEH1839 FUL1839 FKP1839 FAT1839 EQX1839 EHB1839 DXF1839 DNJ1839 DDN1839 CTR1839 CJV1839 BZZ1839 BQD1839 BGH1839 AWL1839 AMP1839 ACT1839 SX1839 JB1839 JB1843 WVN1843 WLR1843 WBV1843 VRZ1843 VID1843 UYH1843 UOL1843 UEP1843 TUT1843 TKX1843 TBB1843 SRF1843 SHJ1843 RXN1843 RNR1843 RDV1843 QTZ1843 QKD1843 QAH1843 PQL1843 PGP1843 OWT1843 OMX1843 ODB1843 NTF1843 NJJ1843 MZN1843 MPR1843 MFV1843 LVZ1843 LMD1843 LCH1843 KSL1843 KIP1843 JYT1843 JOX1843 JFB1843 IVF1843 ILJ1843 IBN1843 HRR1843 HHV1843 GXZ1843 GOD1843 GEH1843 FUL1843 FKP1843 FAT1843 EQX1843 EHB1843 DXF1843 DNJ1843 DDN1843 CTR1843 CJV1843 BZZ1843 BQD1843 BGH1843 AWL1843 AMP1843 ACT1843 SX1843 F1843:F1845 WVN1845 WLR1845 WBV1845 VRZ1845 VID1845 UYH1845 UOL1845 UEP1845 TUT1845 TKX1845 TBB1845 SRF1845 SHJ1845 RXN1845 RNR1845 RDV1845 QTZ1845 QKD1845 QAH1845 PQL1845 PGP1845 OWT1845 OMX1845 ODB1845 NTF1845 NJJ1845 MZN1845 MPR1845 MFV1845 LVZ1845 LMD1845 LCH1845 KSL1845 KIP1845 JYT1845 JOX1845 JFB1845 IVF1845 ILJ1845 IBN1845 HRR1845 HHV1845 GXZ1845 GOD1845 GEH1845 FUL1845 FKP1845 FAT1845 EQX1845 EHB1845 DXF1845 DNJ1845 DDN1845 CTR1845 CJV1845 BZZ1845 BQD1845 BGH1845 AWL1845 AMP1845 ACT1845 SX1845 JB1845 F1850:F1858 F1896:F1897 F1868:F1872 F1881:F1883 F1876:F1878 F1886:F1888 F1860:F1865 F1891:F1893 F1901:F1902 F1905 F1909:F1910"/>
    <dataValidation allowBlank="1" showInputMessage="1" showErrorMessage="1" prompt="Insumos iguais devem ter o mesmo custo atribuído." sqref="G273 G295 G298:G303 G306:G311 G351:G352 G689:G693 G696 G699:G704 G707:G712 G930 G1275:G1280 G1272 G483 G1242 G1625 G1606 G1608:G1612 G1601:G1602 G21:G24 G32:G33 G55:G56 G1215:G1217 G47:G53 G64 G71 G75 G78 G81 G84 G87 G90 G110:G115 G120:G123 G118 G127 G132 G155:G156 G160 G1235:G1236 G228 G168:G169 G993:G997 G182:G183 G173 G195:G196 G187 G208:G209 G200 G221:G222 G254 G213 G268:G269 G463 G469 G474 G480 G488:G494 G247 G314:G319 G322:G326 G332:G333 G338:G339 G346 G389:G390 G411 G415 G419 G423 G439:G440 G444:G445 G100 G501 G508 G511 G514 G517 G520 G523 G234:G235 G874 G889 G1558 G1403 G231 G540:G545 G550:G553 G548 G557 G562 G635 G632 G625:G626 G612:G613 G603 G639 G653:G654 G686 G715:G719 G722:G726 G660 G667 G738:G739 G784:G785 G791:G792 G806 G810 G814 G818 G822 G830:G831 G835:G836 G860 G280 G904 G910 G915 G921 G924 G938:G944 G950:G951 G955 G973:G974 G978 G988 G985 G1009 G1006 G1018 G1021:G1026 G1029:G1033 G1039:G1040 G1051 G1055 G933 G1062 G1068 G1078 G1073 G1091:G1092 G1095 G590 G598:G599 G646 G732:G733 G747 G1153:G1154 G1132 G1137 G1193 G1190 G1178:G1179 G1170 G1195:G1197 G1201:G1203 G1183 G1225 G1245 G1283:G1287 G1290:G1294 G1300:G1301 G1308 G1349 G1353 G1357 G1361 G1365:G1366 G1081 G1389 G1395 G1400 G1446:G1451 G1115:G1120 G1125:G1128 G1123 G1165:G1166 G1228 G1472:G1477 G1482:G1485 G1480 G1489 G1494 G1504:G1509 G1514:G1517 G1512 G1521 G1526 G1569:G1570 G1577:G1579 G1585:G1587 G1596:G1597 G1615:G1621 G1632 G1262 G1417 G1431 G1265:G1269 G1635:G1640 G1685:G1686 G1707 G1646 G1652:G1653 G1657 G1695 G1692 G1664:G1666 G1208:G1210 G40:G42 G1701 G1718 G1723 G1734 G1728 G1748 G1753 G1553 G1673:G1675 G1774 G1767:G1768 JC1767:JC1768 SY1767:SY1768 ACU1767:ACU1768 AMQ1767:AMQ1768 AWM1767:AWM1768 BGI1767:BGI1768 BQE1767:BQE1768 CAA1767:CAA1768 CJW1767:CJW1768 CTS1767:CTS1768 DDO1767:DDO1768 DNK1767:DNK1768 DXG1767:DXG1768 EHC1767:EHC1768 EQY1767:EQY1768 FAU1767:FAU1768 FKQ1767:FKQ1768 FUM1767:FUM1768 GEI1767:GEI1768 GOE1767:GOE1768 GYA1767:GYA1768 HHW1767:HHW1768 HRS1767:HRS1768 IBO1767:IBO1768 ILK1767:ILK1768 IVG1767:IVG1768 JFC1767:JFC1768 JOY1767:JOY1768 JYU1767:JYU1768 KIQ1767:KIQ1768 KSM1767:KSM1768 LCI1767:LCI1768 LME1767:LME1768 LWA1767:LWA1768 MFW1767:MFW1768 MPS1767:MPS1768 MZO1767:MZO1768 NJK1767:NJK1768 NTG1767:NTG1768 ODC1767:ODC1768 OMY1767:OMY1768 OWU1767:OWU1768 PGQ1767:PGQ1768 PQM1767:PQM1768 QAI1767:QAI1768 QKE1767:QKE1768 QUA1767:QUA1768 RDW1767:RDW1768 RNS1767:RNS1768 RXO1767:RXO1768 SHK1767:SHK1768 SRG1767:SRG1768 TBC1767:TBC1768 TKY1767:TKY1768 TUU1767:TUU1768 UEQ1767:UEQ1768 UOM1767:UOM1768 UYI1767:UYI1768 VIE1767:VIE1768 VSA1767:VSA1768 WBW1767:WBW1768 WLS1767:WLS1768 WVO1767:WVO1768 G261:G262 G617 G585:G586 G1536:G1541 G1546:G1549 G1544 G1744 G1741 G1788 JC1788 SY1788 ACU1788 AMQ1788 AWM1788 BGI1788 BQE1788 CAA1788 CJW1788 CTS1788 DDO1788 DNK1788 DXG1788 EHC1788 EQY1788 FAU1788 FKQ1788 FUM1788 GEI1788 GOE1788 GYA1788 HHW1788 HRS1788 IBO1788 ILK1788 IVG1788 JFC1788 JOY1788 JYU1788 KIQ1788 KSM1788 LCI1788 LME1788 LWA1788 MFW1788 MPS1788 MZO1788 NJK1788 NTG1788 ODC1788 OMY1788 OWU1788 PGQ1788 PQM1788 QAI1788 QKE1788 QUA1788 RDW1788 RNS1788 RXO1788 SHK1788 SRG1788 TBC1788 TKY1788 TUU1788 UEQ1788 UOM1788 UYI1788 VIE1788 VSA1788 WBW1788 WLS1788 WVO1788 G1780 JC1780 SY1780 ACU1780 AMQ1780 AWM1780 BGI1780 BQE1780 CAA1780 CJW1780 CTS1780 DDO1780 DNK1780 DXG1780 EHC1780 EQY1780 FAU1780 FKQ1780 FUM1780 GEI1780 GOE1780 GYA1780 HHW1780 HRS1780 IBO1780 ILK1780 IVG1780 JFC1780 JOY1780 JYU1780 KIQ1780 KSM1780 LCI1780 LME1780 LWA1780 MFW1780 MPS1780 MZO1780 NJK1780 NTG1780 ODC1780 OMY1780 OWU1780 PGQ1780 PQM1780 QAI1780 QKE1780 QUA1780 RDW1780 RNS1780 RXO1780 SHK1780 SRG1780 TBC1780 TKY1780 TUU1780 UEQ1780 UOM1780 UYI1780 VIE1780 VSA1780 WBW1780 WLS1780 WVO1780 G1796 JC1796 SY1796 ACU1796 AMQ1796 AWM1796 BGI1796 BQE1796 CAA1796 CJW1796 CTS1796 DDO1796 DNK1796 DXG1796 EHC1796 EQY1796 FAU1796 FKQ1796 FUM1796 GEI1796 GOE1796 GYA1796 HHW1796 HRS1796 IBO1796 ILK1796 IVG1796 JFC1796 JOY1796 JYU1796 KIQ1796 KSM1796 LCI1796 LME1796 LWA1796 MFW1796 MPS1796 MZO1796 NJK1796 NTG1796 ODC1796 OMY1796 OWU1796 PGQ1796 PQM1796 QAI1796 QKE1796 QUA1796 RDW1796 RNS1796 RXO1796 SHK1796 SRG1796 TBC1796 TKY1796 TUU1796 UEQ1796 UOM1796 UYI1796 VIE1796 VSA1796 WBW1796 WLS1796 WVO1796 G1803 JC1803 SY1803 ACU1803 AMQ1803 AWM1803 BGI1803 BQE1803 CAA1803 CJW1803 CTS1803 DDO1803 DNK1803 DXG1803 EHC1803 EQY1803 FAU1803 FKQ1803 FUM1803 GEI1803 GOE1803 GYA1803 HHW1803 HRS1803 IBO1803 ILK1803 IVG1803 JFC1803 JOY1803 JYU1803 KIQ1803 KSM1803 LCI1803 LME1803 LWA1803 MFW1803 MPS1803 MZO1803 NJK1803 NTG1803 ODC1803 OMY1803 OWU1803 PGQ1803 PQM1803 QAI1803 QKE1803 QUA1803 RDW1803 RNS1803 RXO1803 SHK1803 SRG1803 TBC1803 TKY1803 TUU1803 UEQ1803 UOM1803 UYI1803 VIE1803 VSA1803 WBW1803 WLS1803 WVO1803 G1810 JC1810 SY1810 ACU1810 AMQ1810 AWM1810 BGI1810 BQE1810 CAA1810 CJW1810 CTS1810 DDO1810 DNK1810 DXG1810 EHC1810 EQY1810 FAU1810 FKQ1810 FUM1810 GEI1810 GOE1810 GYA1810 HHW1810 HRS1810 IBO1810 ILK1810 IVG1810 JFC1810 JOY1810 JYU1810 KIQ1810 KSM1810 LCI1810 LME1810 LWA1810 MFW1810 MPS1810 MZO1810 NJK1810 NTG1810 ODC1810 OMY1810 OWU1810 PGQ1810 PQM1810 QAI1810 QKE1810 QUA1810 RDW1810 RNS1810 RXO1810 SHK1810 SRG1810 TBC1810 TKY1810 TUU1810 UEQ1810 UOM1810 UYI1810 VIE1810 VSA1810 WBW1810 WLS1810 WVO1810 G1816 JC1816 SY1816 ACU1816 AMQ1816 AWM1816 BGI1816 BQE1816 CAA1816 CJW1816 CTS1816 DDO1816 DNK1816 DXG1816 EHC1816 EQY1816 FAU1816 FKQ1816 FUM1816 GEI1816 GOE1816 GYA1816 HHW1816 HRS1816 IBO1816 ILK1816 IVG1816 JFC1816 JOY1816 JYU1816 KIQ1816 KSM1816 LCI1816 LME1816 LWA1816 MFW1816 MPS1816 MZO1816 NJK1816 NTG1816 ODC1816 OMY1816 OWU1816 PGQ1816 PQM1816 QAI1816 QKE1816 QUA1816 RDW1816 RNS1816 RXO1816 SHK1816 SRG1816 TBC1816 TKY1816 TUU1816 UEQ1816 UOM1816 UYI1816 VIE1816 VSA1816 WBW1816 WLS1816 WVO1816 G1821 JC1821 SY1821 ACU1821 AMQ1821 AWM1821 BGI1821 BQE1821 CAA1821 CJW1821 CTS1821 DDO1821 DNK1821 DXG1821 EHC1821 EQY1821 FAU1821 FKQ1821 FUM1821 GEI1821 GOE1821 GYA1821 HHW1821 HRS1821 IBO1821 ILK1821 IVG1821 JFC1821 JOY1821 JYU1821 KIQ1821 KSM1821 LCI1821 LME1821 LWA1821 MFW1821 MPS1821 MZO1821 NJK1821 NTG1821 ODC1821 OMY1821 OWU1821 PGQ1821 PQM1821 QAI1821 QKE1821 QUA1821 RDW1821 RNS1821 RXO1821 SHK1821 SRG1821 TBC1821 TKY1821 TUU1821 UEQ1821 UOM1821 UYI1821 VIE1821 VSA1821 WBW1821 WLS1821 WVO1821 G1827 JC1827 SY1827 ACU1827 AMQ1827 AWM1827 BGI1827 BQE1827 CAA1827 CJW1827 CTS1827 DDO1827 DNK1827 DXG1827 EHC1827 EQY1827 FAU1827 FKQ1827 FUM1827 GEI1827 GOE1827 GYA1827 HHW1827 HRS1827 IBO1827 ILK1827 IVG1827 JFC1827 JOY1827 JYU1827 KIQ1827 KSM1827 LCI1827 LME1827 LWA1827 MFW1827 MPS1827 MZO1827 NJK1827 NTG1827 ODC1827 OMY1827 OWU1827 PGQ1827 PQM1827 QAI1827 QKE1827 QUA1827 RDW1827 RNS1827 RXO1827 SHK1827 SRG1827 TBC1827 TKY1827 TUU1827 UEQ1827 UOM1827 UYI1827 VIE1827 VSA1827 WBW1827 WLS1827 WVO1827 G1832 JC1832 SY1832 ACU1832 AMQ1832 AWM1832 BGI1832 BQE1832 CAA1832 CJW1832 CTS1832 DDO1832 DNK1832 DXG1832 EHC1832 EQY1832 FAU1832 FKQ1832 FUM1832 GEI1832 GOE1832 GYA1832 HHW1832 HRS1832 IBO1832 ILK1832 IVG1832 JFC1832 JOY1832 JYU1832 KIQ1832 KSM1832 LCI1832 LME1832 LWA1832 MFW1832 MPS1832 MZO1832 NJK1832 NTG1832 ODC1832 OMY1832 OWU1832 PGQ1832 PQM1832 QAI1832 QKE1832 QUA1832 RDW1832 RNS1832 RXO1832 SHK1832 SRG1832 TBC1832 TKY1832 TUU1832 UEQ1832 UOM1832 UYI1832 VIE1832 VSA1832 WBW1832 WLS1832 WVO1832 G1837 JC1837 SY1837 ACU1837 AMQ1837 AWM1837 BGI1837 BQE1837 CAA1837 CJW1837 CTS1837 DDO1837 DNK1837 DXG1837 EHC1837 EQY1837 FAU1837 FKQ1837 FUM1837 GEI1837 GOE1837 GYA1837 HHW1837 HRS1837 IBO1837 ILK1837 IVG1837 JFC1837 JOY1837 JYU1837 KIQ1837 KSM1837 LCI1837 LME1837 LWA1837 MFW1837 MPS1837 MZO1837 NJK1837 NTG1837 ODC1837 OMY1837 OWU1837 PGQ1837 PQM1837 QAI1837 QKE1837 QUA1837 RDW1837 RNS1837 RXO1837 SHK1837 SRG1837 TBC1837 TKY1837 TUU1837 UEQ1837 UOM1837 UYI1837 VIE1837 VSA1837 WBW1837 WLS1837 WVO1837 G1843 JC1843 SY1843 ACU1843 AMQ1843 AWM1843 BGI1843 BQE1843 CAA1843 CJW1843 CTS1843 DDO1843 DNK1843 DXG1843 EHC1843 EQY1843 FAU1843 FKQ1843 FUM1843 GEI1843 GOE1843 GYA1843 HHW1843 HRS1843 IBO1843 ILK1843 IVG1843 JFC1843 JOY1843 JYU1843 KIQ1843 KSM1843 LCI1843 LME1843 LWA1843 MFW1843 MPS1843 MZO1843 NJK1843 NTG1843 ODC1843 OMY1843 OWU1843 PGQ1843 PQM1843 QAI1843 QKE1843 QUA1843 RDW1843 RNS1843 RXO1843 SHK1843 SRG1843 TBC1843 TKY1843 TUU1843 UEQ1843 UOM1843 UYI1843 VIE1843 VSA1843 WBW1843 WLS1843 WVO1843 G1853:G1858 G1877:G1878 G1863 G1869 G1886 G1882:G1883 G1891 G1902 G1910"/>
  </dataValidations>
  <pageMargins left="0.23622047244094491" right="0.23622047244094491" top="0.74803149606299213" bottom="0.74803149606299213" header="0.31496062992125984" footer="0.31496062992125984"/>
  <pageSetup paperSize="9" scale="51"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26"/>
  <sheetViews>
    <sheetView zoomScale="205" zoomScaleNormal="205" workbookViewId="0">
      <selection sqref="A1:D1"/>
    </sheetView>
  </sheetViews>
  <sheetFormatPr defaultRowHeight="11.25" x14ac:dyDescent="0.2"/>
  <cols>
    <col min="1" max="1" width="16.5703125" style="162" customWidth="1"/>
    <col min="2" max="2" width="9.42578125" style="162" customWidth="1"/>
    <col min="3" max="3" width="9.5703125" style="162" customWidth="1"/>
    <col min="4" max="4" width="9.85546875" style="162" customWidth="1"/>
    <col min="5" max="5" width="1.7109375" style="164" customWidth="1"/>
    <col min="6" max="7" width="10.42578125" style="163" customWidth="1"/>
    <col min="8" max="8" width="9.42578125" style="163" customWidth="1"/>
    <col min="9" max="9" width="7.42578125" style="162" customWidth="1"/>
    <col min="10" max="10" width="8.42578125" style="162" customWidth="1"/>
    <col min="11" max="11" width="10.42578125" style="162" customWidth="1"/>
    <col min="12" max="12" width="11.140625" style="162" customWidth="1"/>
    <col min="13" max="13" width="8.85546875" style="162" customWidth="1"/>
    <col min="14" max="14" width="9.5703125" style="162" customWidth="1"/>
    <col min="15" max="15" width="8.7109375" style="162" customWidth="1"/>
    <col min="16" max="16" width="8.5703125" style="162" customWidth="1"/>
    <col min="17" max="18" width="7.5703125" style="162" customWidth="1"/>
    <col min="19" max="19" width="7.28515625" style="162" customWidth="1"/>
    <col min="20" max="20" width="7.140625" style="162" customWidth="1"/>
    <col min="21" max="21" width="7.5703125" style="162" customWidth="1"/>
    <col min="22" max="22" width="7.140625" style="162" customWidth="1"/>
    <col min="23" max="24" width="6.5703125" style="162" customWidth="1"/>
    <col min="25" max="25" width="7.140625" style="162" customWidth="1"/>
    <col min="26" max="26" width="6.5703125" style="162" customWidth="1"/>
    <col min="27" max="27" width="8.42578125" style="162" customWidth="1"/>
    <col min="28" max="28" width="8.85546875" style="162" customWidth="1"/>
    <col min="29" max="29" width="7.140625" style="162" customWidth="1"/>
    <col min="30" max="30" width="6.42578125" style="162" customWidth="1"/>
    <col min="31" max="31" width="5.85546875" style="162" bestFit="1" customWidth="1"/>
    <col min="32" max="32" width="7.5703125" style="162" bestFit="1" customWidth="1"/>
    <col min="33" max="33" width="7.42578125" style="162" bestFit="1" customWidth="1"/>
    <col min="34" max="34" width="5.42578125" style="162" bestFit="1" customWidth="1"/>
    <col min="35" max="35" width="8.7109375" style="162" bestFit="1" customWidth="1"/>
    <col min="36" max="36" width="6.7109375" style="162" bestFit="1" customWidth="1"/>
    <col min="37" max="16384" width="9.140625" style="162"/>
  </cols>
  <sheetData>
    <row r="1" spans="1:10" s="238" customFormat="1" ht="15" x14ac:dyDescent="0.25">
      <c r="A1" s="800" t="s">
        <v>116</v>
      </c>
      <c r="B1" s="801"/>
      <c r="C1" s="801"/>
      <c r="D1" s="802"/>
      <c r="E1" s="239"/>
      <c r="F1" s="239"/>
      <c r="G1" s="239"/>
      <c r="H1" s="239"/>
      <c r="I1" s="239"/>
      <c r="J1" s="239"/>
    </row>
    <row r="2" spans="1:10" s="238" customFormat="1" x14ac:dyDescent="0.2"/>
    <row r="3" spans="1:10" s="381" customFormat="1" ht="17.25" customHeight="1" x14ac:dyDescent="0.2">
      <c r="A3" s="792" t="s">
        <v>244</v>
      </c>
      <c r="B3" s="793"/>
      <c r="C3" s="793"/>
      <c r="D3" s="794"/>
    </row>
    <row r="4" spans="1:10" x14ac:dyDescent="0.2">
      <c r="E4" s="162"/>
      <c r="F4" s="162"/>
      <c r="G4" s="162"/>
      <c r="H4" s="162"/>
    </row>
    <row r="5" spans="1:10" s="254" customFormat="1" ht="12.75" customHeight="1" x14ac:dyDescent="0.15">
      <c r="A5" s="784" t="s">
        <v>169</v>
      </c>
      <c r="B5" s="785"/>
      <c r="C5" s="785"/>
      <c r="D5" s="786"/>
      <c r="E5" s="262"/>
      <c r="F5" s="326"/>
      <c r="G5" s="326"/>
      <c r="H5" s="326"/>
    </row>
    <row r="6" spans="1:10" s="254" customFormat="1" ht="9" x14ac:dyDescent="0.15"/>
    <row r="7" spans="1:10" s="254" customFormat="1" ht="9" x14ac:dyDescent="0.15">
      <c r="B7" s="379" t="s">
        <v>174</v>
      </c>
      <c r="C7" s="264" t="s">
        <v>173</v>
      </c>
      <c r="D7" s="265" t="s">
        <v>175</v>
      </c>
    </row>
    <row r="8" spans="1:10" s="254" customFormat="1" ht="9" x14ac:dyDescent="0.15">
      <c r="A8" s="435" t="s">
        <v>245</v>
      </c>
      <c r="B8" s="406">
        <v>32</v>
      </c>
      <c r="C8" s="407"/>
      <c r="D8" s="436">
        <f>B8</f>
        <v>32</v>
      </c>
    </row>
    <row r="9" spans="1:10" s="254" customFormat="1" ht="9" x14ac:dyDescent="0.15">
      <c r="A9" s="437" t="s">
        <v>246</v>
      </c>
      <c r="B9" s="438">
        <v>34</v>
      </c>
      <c r="C9" s="439"/>
      <c r="D9" s="440">
        <f>B9</f>
        <v>34</v>
      </c>
    </row>
    <row r="10" spans="1:10" s="254" customFormat="1" ht="9" x14ac:dyDescent="0.15">
      <c r="A10" s="441"/>
      <c r="B10" s="442"/>
      <c r="C10" s="443"/>
      <c r="D10" s="408">
        <f>D8+D9</f>
        <v>66</v>
      </c>
    </row>
    <row r="11" spans="1:10" s="254" customFormat="1" ht="18" x14ac:dyDescent="0.15">
      <c r="A11" s="435" t="s">
        <v>247</v>
      </c>
      <c r="B11" s="406">
        <f>(5+2+1.7+1.7+1.7)*2</f>
        <v>24.199999999999996</v>
      </c>
      <c r="C11" s="407"/>
      <c r="D11" s="436">
        <f>B11</f>
        <v>24.199999999999996</v>
      </c>
    </row>
    <row r="12" spans="1:10" s="254" customFormat="1" ht="18" x14ac:dyDescent="0.15">
      <c r="A12" s="437" t="s">
        <v>248</v>
      </c>
      <c r="B12" s="438">
        <f>(5+1.7+1.7)*2</f>
        <v>16.8</v>
      </c>
      <c r="C12" s="439"/>
      <c r="D12" s="440">
        <f>B12</f>
        <v>16.8</v>
      </c>
    </row>
    <row r="13" spans="1:10" s="254" customFormat="1" ht="9" x14ac:dyDescent="0.15">
      <c r="A13" s="441"/>
      <c r="B13" s="442"/>
      <c r="C13" s="443"/>
      <c r="D13" s="408">
        <f>D11+D12</f>
        <v>41</v>
      </c>
    </row>
    <row r="14" spans="1:10" s="254" customFormat="1" ht="18" x14ac:dyDescent="0.15">
      <c r="A14" s="435" t="s">
        <v>250</v>
      </c>
      <c r="B14" s="406">
        <v>30</v>
      </c>
      <c r="C14" s="407">
        <v>4</v>
      </c>
      <c r="D14" s="436">
        <f>B14*C14</f>
        <v>120</v>
      </c>
    </row>
    <row r="15" spans="1:10" s="254" customFormat="1" ht="18" x14ac:dyDescent="0.15">
      <c r="A15" s="437" t="s">
        <v>251</v>
      </c>
      <c r="B15" s="438">
        <v>30</v>
      </c>
      <c r="C15" s="439">
        <v>4</v>
      </c>
      <c r="D15" s="436">
        <f>B15*C15</f>
        <v>120</v>
      </c>
    </row>
    <row r="16" spans="1:10" s="254" customFormat="1" ht="9" x14ac:dyDescent="0.15">
      <c r="A16" s="441"/>
      <c r="B16" s="442"/>
      <c r="C16" s="443"/>
      <c r="D16" s="408">
        <f>D14+D15</f>
        <v>240</v>
      </c>
    </row>
    <row r="17" spans="1:36" s="254" customFormat="1" ht="9" x14ac:dyDescent="0.15">
      <c r="A17" s="435" t="s">
        <v>252</v>
      </c>
      <c r="B17" s="406">
        <v>1</v>
      </c>
      <c r="C17" s="407"/>
      <c r="D17" s="436">
        <f>B17</f>
        <v>1</v>
      </c>
    </row>
    <row r="18" spans="1:36" s="254" customFormat="1" ht="9" x14ac:dyDescent="0.15">
      <c r="A18" s="437" t="s">
        <v>253</v>
      </c>
      <c r="B18" s="438">
        <v>1</v>
      </c>
      <c r="C18" s="439"/>
      <c r="D18" s="436">
        <f>B18</f>
        <v>1</v>
      </c>
    </row>
    <row r="19" spans="1:36" s="254" customFormat="1" ht="9" x14ac:dyDescent="0.15">
      <c r="A19" s="441"/>
      <c r="B19" s="442"/>
      <c r="C19" s="443"/>
      <c r="D19" s="408">
        <f>D17+D18</f>
        <v>2</v>
      </c>
    </row>
    <row r="20" spans="1:36" s="254" customFormat="1" ht="9" x14ac:dyDescent="0.15">
      <c r="A20" s="435" t="s">
        <v>254</v>
      </c>
      <c r="B20" s="406">
        <v>7</v>
      </c>
      <c r="C20" s="407"/>
      <c r="D20" s="436">
        <f>B20</f>
        <v>7</v>
      </c>
    </row>
    <row r="21" spans="1:36" s="254" customFormat="1" ht="18" x14ac:dyDescent="0.15">
      <c r="A21" s="437" t="s">
        <v>255</v>
      </c>
      <c r="B21" s="438">
        <v>3</v>
      </c>
      <c r="C21" s="439"/>
      <c r="D21" s="436">
        <f>B21</f>
        <v>3</v>
      </c>
    </row>
    <row r="22" spans="1:36" s="254" customFormat="1" ht="9" x14ac:dyDescent="0.15">
      <c r="A22" s="441"/>
      <c r="B22" s="442"/>
      <c r="C22" s="443"/>
      <c r="D22" s="408">
        <f>D20+D21</f>
        <v>10</v>
      </c>
    </row>
    <row r="23" spans="1:36" s="254" customFormat="1" ht="18" x14ac:dyDescent="0.15">
      <c r="A23" s="435" t="s">
        <v>256</v>
      </c>
      <c r="B23" s="406">
        <v>5</v>
      </c>
      <c r="C23" s="407"/>
      <c r="D23" s="436">
        <f>B23</f>
        <v>5</v>
      </c>
    </row>
    <row r="24" spans="1:36" s="254" customFormat="1" ht="18" x14ac:dyDescent="0.15">
      <c r="A24" s="437" t="s">
        <v>257</v>
      </c>
      <c r="B24" s="438">
        <v>5</v>
      </c>
      <c r="C24" s="439"/>
      <c r="D24" s="436">
        <f>B24</f>
        <v>5</v>
      </c>
    </row>
    <row r="25" spans="1:36" s="254" customFormat="1" ht="9" x14ac:dyDescent="0.15">
      <c r="A25" s="441"/>
      <c r="B25" s="442"/>
      <c r="C25" s="443"/>
      <c r="D25" s="408">
        <f>D23+D24</f>
        <v>10</v>
      </c>
    </row>
    <row r="26" spans="1:36" s="254" customFormat="1" ht="27" x14ac:dyDescent="0.15">
      <c r="A26" s="405" t="s">
        <v>249</v>
      </c>
      <c r="B26" s="400">
        <f>(2.1*0.9*0.3)</f>
        <v>0.56700000000000006</v>
      </c>
      <c r="C26" s="400">
        <v>7</v>
      </c>
      <c r="D26" s="408">
        <f>B26*C26</f>
        <v>3.9690000000000003</v>
      </c>
      <c r="E26" s="250"/>
    </row>
    <row r="27" spans="1:36" s="254" customFormat="1" ht="9" x14ac:dyDescent="0.15">
      <c r="E27" s="250"/>
      <c r="F27" s="318"/>
      <c r="G27" s="318"/>
      <c r="H27" s="318"/>
    </row>
    <row r="28" spans="1:36" s="254" customFormat="1" ht="9" x14ac:dyDescent="0.15">
      <c r="E28" s="250"/>
      <c r="F28" s="318"/>
      <c r="G28" s="318"/>
      <c r="H28" s="318"/>
    </row>
    <row r="29" spans="1:36" s="254" customFormat="1" ht="12.75" customHeight="1" thickBot="1" x14ac:dyDescent="0.2">
      <c r="A29" s="784" t="s">
        <v>265</v>
      </c>
      <c r="B29" s="785"/>
      <c r="C29" s="785"/>
      <c r="D29" s="786"/>
      <c r="E29" s="262"/>
      <c r="F29" s="326"/>
      <c r="G29" s="326"/>
      <c r="H29" s="326"/>
    </row>
    <row r="30" spans="1:36" s="250" customFormat="1" ht="36.75" thickBot="1" x14ac:dyDescent="0.2">
      <c r="A30" s="425"/>
      <c r="B30" s="449" t="s">
        <v>111</v>
      </c>
      <c r="C30" s="377" t="s">
        <v>112</v>
      </c>
      <c r="D30" s="377" t="s">
        <v>113</v>
      </c>
      <c r="E30" s="386"/>
      <c r="F30" s="388" t="s">
        <v>122</v>
      </c>
      <c r="G30" s="388"/>
      <c r="H30" s="450" t="s">
        <v>282</v>
      </c>
      <c r="I30" s="451" t="s">
        <v>291</v>
      </c>
      <c r="J30" s="389" t="s">
        <v>114</v>
      </c>
      <c r="K30" s="389" t="s">
        <v>115</v>
      </c>
      <c r="L30" s="390" t="s">
        <v>262</v>
      </c>
      <c r="M30" s="390" t="s">
        <v>237</v>
      </c>
      <c r="O30" s="391" t="s">
        <v>141</v>
      </c>
      <c r="P30" s="392" t="s">
        <v>140</v>
      </c>
      <c r="Q30" s="392" t="s">
        <v>123</v>
      </c>
      <c r="R30" s="392" t="s">
        <v>124</v>
      </c>
      <c r="S30" s="392" t="s">
        <v>125</v>
      </c>
      <c r="T30" s="392" t="s">
        <v>263</v>
      </c>
      <c r="U30" s="392" t="s">
        <v>126</v>
      </c>
      <c r="V30" s="392" t="s">
        <v>127</v>
      </c>
      <c r="W30" s="393" t="s">
        <v>128</v>
      </c>
      <c r="X30" s="392" t="s">
        <v>129</v>
      </c>
      <c r="Y30" s="392" t="s">
        <v>130</v>
      </c>
      <c r="Z30" s="392" t="s">
        <v>131</v>
      </c>
      <c r="AA30" s="393" t="s">
        <v>132</v>
      </c>
      <c r="AB30" s="392" t="s">
        <v>133</v>
      </c>
      <c r="AC30" s="392" t="s">
        <v>139</v>
      </c>
      <c r="AD30" s="393" t="s">
        <v>134</v>
      </c>
      <c r="AE30" s="393" t="s">
        <v>135</v>
      </c>
      <c r="AF30" s="392" t="s">
        <v>136</v>
      </c>
      <c r="AG30" s="392" t="s">
        <v>137</v>
      </c>
      <c r="AH30" s="394" t="s">
        <v>138</v>
      </c>
      <c r="AI30" s="392" t="s">
        <v>145</v>
      </c>
      <c r="AJ30" s="394" t="s">
        <v>146</v>
      </c>
    </row>
    <row r="31" spans="1:36" s="254" customFormat="1" ht="11.25" customHeight="1" x14ac:dyDescent="0.15">
      <c r="A31" s="359">
        <v>3.6</v>
      </c>
      <c r="B31" s="255" t="s">
        <v>258</v>
      </c>
      <c r="C31" s="240">
        <v>18.399999999999999</v>
      </c>
      <c r="D31" s="241">
        <v>20.350000000000001</v>
      </c>
      <c r="E31" s="467"/>
      <c r="F31" s="327">
        <f t="shared" ref="F31:F36" si="0">D31</f>
        <v>20.350000000000001</v>
      </c>
      <c r="G31" s="327"/>
      <c r="H31" s="327">
        <f t="shared" ref="H31:H36" si="1">F31</f>
        <v>20.350000000000001</v>
      </c>
      <c r="I31" s="327">
        <f>D31</f>
        <v>20.350000000000001</v>
      </c>
      <c r="J31" s="327"/>
      <c r="K31" s="327">
        <f>C31*$A$31</f>
        <v>66.239999999999995</v>
      </c>
      <c r="L31" s="468"/>
      <c r="M31" s="323"/>
      <c r="O31" s="363">
        <v>0</v>
      </c>
      <c r="P31" s="364"/>
      <c r="Q31" s="364"/>
      <c r="R31" s="364">
        <v>0</v>
      </c>
      <c r="S31" s="364"/>
      <c r="T31" s="364"/>
      <c r="U31" s="364"/>
      <c r="V31" s="364"/>
      <c r="W31" s="364"/>
      <c r="X31" s="364">
        <v>3</v>
      </c>
      <c r="Y31" s="364"/>
      <c r="Z31" s="364"/>
      <c r="AA31" s="364">
        <v>0</v>
      </c>
      <c r="AB31" s="364"/>
      <c r="AC31" s="364"/>
      <c r="AD31" s="364"/>
      <c r="AE31" s="364"/>
      <c r="AF31" s="364"/>
      <c r="AG31" s="364"/>
      <c r="AH31" s="365">
        <v>1</v>
      </c>
      <c r="AI31" s="364">
        <v>1</v>
      </c>
      <c r="AJ31" s="365"/>
    </row>
    <row r="32" spans="1:36" s="254" customFormat="1" ht="10.5" customHeight="1" x14ac:dyDescent="0.15">
      <c r="A32" s="359"/>
      <c r="B32" s="255" t="s">
        <v>280</v>
      </c>
      <c r="D32" s="240">
        <f>(3.2+1.8+3.45+3.45+0.6+0.6+0.6+0.6)*0.15</f>
        <v>2.1449999999999996</v>
      </c>
      <c r="E32" s="262"/>
      <c r="F32" s="469">
        <f t="shared" si="0"/>
        <v>2.1449999999999996</v>
      </c>
      <c r="G32" s="469"/>
      <c r="H32" s="469">
        <f t="shared" si="1"/>
        <v>2.1449999999999996</v>
      </c>
      <c r="I32" s="469"/>
      <c r="J32" s="469"/>
      <c r="K32" s="469"/>
      <c r="L32" s="470"/>
      <c r="M32" s="471"/>
      <c r="O32" s="363"/>
      <c r="P32" s="364"/>
      <c r="Q32" s="364"/>
      <c r="R32" s="364"/>
      <c r="S32" s="364"/>
      <c r="T32" s="364"/>
      <c r="U32" s="364"/>
      <c r="V32" s="364"/>
      <c r="W32" s="364"/>
      <c r="X32" s="364"/>
      <c r="Y32" s="364"/>
      <c r="Z32" s="364"/>
      <c r="AA32" s="364"/>
      <c r="AB32" s="364"/>
      <c r="AC32" s="364"/>
      <c r="AD32" s="364"/>
      <c r="AE32" s="364"/>
      <c r="AF32" s="364"/>
      <c r="AG32" s="364"/>
      <c r="AH32" s="365"/>
      <c r="AI32" s="364"/>
      <c r="AJ32" s="365"/>
    </row>
    <row r="33" spans="1:36" s="254" customFormat="1" ht="9" x14ac:dyDescent="0.15">
      <c r="A33" s="359"/>
      <c r="B33" s="255" t="s">
        <v>261</v>
      </c>
      <c r="C33" s="240">
        <v>14.5</v>
      </c>
      <c r="D33" s="241">
        <v>11.25</v>
      </c>
      <c r="E33" s="262"/>
      <c r="F33" s="469">
        <f t="shared" si="0"/>
        <v>11.25</v>
      </c>
      <c r="G33" s="469"/>
      <c r="H33" s="469">
        <f t="shared" si="1"/>
        <v>11.25</v>
      </c>
      <c r="I33" s="469">
        <f>D33</f>
        <v>11.25</v>
      </c>
      <c r="J33" s="469"/>
      <c r="K33" s="469">
        <f>C33*$A$31</f>
        <v>52.2</v>
      </c>
      <c r="L33" s="470"/>
      <c r="M33" s="471"/>
      <c r="O33" s="363">
        <v>1</v>
      </c>
      <c r="P33" s="364"/>
      <c r="Q33" s="364"/>
      <c r="R33" s="364">
        <v>1</v>
      </c>
      <c r="S33" s="364"/>
      <c r="T33" s="364"/>
      <c r="U33" s="364"/>
      <c r="V33" s="364"/>
      <c r="W33" s="364"/>
      <c r="X33" s="364">
        <v>1</v>
      </c>
      <c r="Y33" s="364"/>
      <c r="Z33" s="364"/>
      <c r="AA33" s="364">
        <v>1</v>
      </c>
      <c r="AB33" s="364"/>
      <c r="AC33" s="364"/>
      <c r="AD33" s="364"/>
      <c r="AE33" s="364"/>
      <c r="AF33" s="364"/>
      <c r="AG33" s="364"/>
      <c r="AH33" s="365">
        <v>1</v>
      </c>
      <c r="AI33" s="364"/>
      <c r="AJ33" s="365"/>
    </row>
    <row r="34" spans="1:36" s="254" customFormat="1" ht="9" x14ac:dyDescent="0.15">
      <c r="A34" s="359"/>
      <c r="B34" s="256" t="s">
        <v>259</v>
      </c>
      <c r="C34" s="242">
        <v>16.2</v>
      </c>
      <c r="D34" s="243">
        <v>15.4</v>
      </c>
      <c r="E34" s="262"/>
      <c r="F34" s="330">
        <f t="shared" si="0"/>
        <v>15.4</v>
      </c>
      <c r="G34" s="330"/>
      <c r="H34" s="330">
        <f t="shared" si="1"/>
        <v>15.4</v>
      </c>
      <c r="I34" s="330">
        <f>D34</f>
        <v>15.4</v>
      </c>
      <c r="J34" s="330"/>
      <c r="K34" s="330">
        <f>C34*$A$31</f>
        <v>58.32</v>
      </c>
      <c r="L34" s="453"/>
      <c r="M34" s="324"/>
      <c r="O34" s="363">
        <v>7</v>
      </c>
      <c r="P34" s="364"/>
      <c r="Q34" s="364">
        <v>3</v>
      </c>
      <c r="R34" s="364">
        <v>4</v>
      </c>
      <c r="S34" s="364">
        <v>5</v>
      </c>
      <c r="T34" s="364"/>
      <c r="U34" s="364"/>
      <c r="V34" s="364"/>
      <c r="W34" s="364"/>
      <c r="X34" s="364"/>
      <c r="Y34" s="364"/>
      <c r="Z34" s="364"/>
      <c r="AA34" s="364">
        <v>1</v>
      </c>
      <c r="AB34" s="364"/>
      <c r="AC34" s="364"/>
      <c r="AD34" s="364"/>
      <c r="AE34" s="364">
        <v>7</v>
      </c>
      <c r="AF34" s="364">
        <v>5</v>
      </c>
      <c r="AG34" s="364">
        <v>2</v>
      </c>
      <c r="AH34" s="365">
        <v>2</v>
      </c>
      <c r="AI34" s="364">
        <v>1</v>
      </c>
      <c r="AJ34" s="365"/>
    </row>
    <row r="35" spans="1:36" s="254" customFormat="1" ht="9" x14ac:dyDescent="0.15">
      <c r="A35" s="359"/>
      <c r="B35" s="256" t="s">
        <v>260</v>
      </c>
      <c r="C35" s="242">
        <v>17.5</v>
      </c>
      <c r="D35" s="243">
        <v>13.5</v>
      </c>
      <c r="E35" s="262"/>
      <c r="F35" s="330">
        <f t="shared" si="0"/>
        <v>13.5</v>
      </c>
      <c r="G35" s="330"/>
      <c r="H35" s="330">
        <f t="shared" si="1"/>
        <v>13.5</v>
      </c>
      <c r="I35" s="330">
        <f>D35</f>
        <v>13.5</v>
      </c>
      <c r="J35" s="330"/>
      <c r="K35" s="330">
        <f>C35*$A$31</f>
        <v>63</v>
      </c>
      <c r="L35" s="453"/>
      <c r="M35" s="324"/>
      <c r="O35" s="363">
        <v>3</v>
      </c>
      <c r="P35" s="364"/>
      <c r="Q35" s="364">
        <v>2</v>
      </c>
      <c r="R35" s="364">
        <v>1</v>
      </c>
      <c r="S35" s="364">
        <v>1</v>
      </c>
      <c r="T35" s="364"/>
      <c r="U35" s="364"/>
      <c r="V35" s="364"/>
      <c r="W35" s="364"/>
      <c r="X35" s="364"/>
      <c r="Y35" s="364"/>
      <c r="Z35" s="364"/>
      <c r="AA35" s="364">
        <v>1</v>
      </c>
      <c r="AB35" s="364"/>
      <c r="AC35" s="364"/>
      <c r="AD35" s="364"/>
      <c r="AE35" s="364">
        <v>3</v>
      </c>
      <c r="AF35" s="364">
        <v>1</v>
      </c>
      <c r="AG35" s="364">
        <v>2</v>
      </c>
      <c r="AH35" s="365">
        <v>2</v>
      </c>
      <c r="AI35" s="364">
        <v>1</v>
      </c>
      <c r="AJ35" s="365"/>
    </row>
    <row r="36" spans="1:36" s="254" customFormat="1" ht="9" x14ac:dyDescent="0.15">
      <c r="A36" s="359"/>
      <c r="B36" s="256" t="s">
        <v>142</v>
      </c>
      <c r="C36" s="242">
        <v>7</v>
      </c>
      <c r="D36" s="243">
        <v>3</v>
      </c>
      <c r="E36" s="262"/>
      <c r="F36" s="330">
        <f t="shared" si="0"/>
        <v>3</v>
      </c>
      <c r="G36" s="330"/>
      <c r="H36" s="330">
        <f t="shared" si="1"/>
        <v>3</v>
      </c>
      <c r="I36" s="330">
        <f>D36</f>
        <v>3</v>
      </c>
      <c r="J36" s="330"/>
      <c r="K36" s="330">
        <f>C36*$A$31</f>
        <v>25.2</v>
      </c>
      <c r="L36" s="453"/>
      <c r="M36" s="324"/>
      <c r="O36" s="363">
        <v>1</v>
      </c>
      <c r="P36" s="364">
        <v>1</v>
      </c>
      <c r="Q36" s="364">
        <v>1</v>
      </c>
      <c r="R36" s="364">
        <v>1</v>
      </c>
      <c r="S36" s="364"/>
      <c r="T36" s="364"/>
      <c r="U36" s="364">
        <v>1</v>
      </c>
      <c r="V36" s="364">
        <v>1</v>
      </c>
      <c r="W36" s="364"/>
      <c r="X36" s="364"/>
      <c r="Y36" s="364"/>
      <c r="Z36" s="364"/>
      <c r="AA36" s="364">
        <v>1</v>
      </c>
      <c r="AB36" s="364"/>
      <c r="AC36" s="364">
        <v>1</v>
      </c>
      <c r="AD36" s="364">
        <v>1</v>
      </c>
      <c r="AE36" s="364">
        <v>1</v>
      </c>
      <c r="AF36" s="364">
        <v>1</v>
      </c>
      <c r="AG36" s="364">
        <v>1</v>
      </c>
      <c r="AH36" s="365">
        <v>1</v>
      </c>
      <c r="AI36" s="364"/>
      <c r="AJ36" s="365">
        <v>1</v>
      </c>
    </row>
    <row r="37" spans="1:36" s="254" customFormat="1" ht="36" x14ac:dyDescent="0.15">
      <c r="A37" s="359"/>
      <c r="B37" s="257" t="s">
        <v>270</v>
      </c>
      <c r="C37" s="242">
        <v>33</v>
      </c>
      <c r="D37" s="243">
        <v>35</v>
      </c>
      <c r="E37" s="262"/>
      <c r="F37" s="361"/>
      <c r="G37" s="361"/>
      <c r="H37" s="361"/>
      <c r="I37" s="330">
        <f>D37</f>
        <v>35</v>
      </c>
      <c r="J37" s="361"/>
      <c r="K37" s="361"/>
      <c r="L37" s="362">
        <f>(52+32)*3.6</f>
        <v>302.40000000000003</v>
      </c>
      <c r="M37" s="452">
        <f>(2.6+2.6)*3.6</f>
        <v>18.720000000000002</v>
      </c>
      <c r="O37" s="363"/>
      <c r="P37" s="364"/>
      <c r="Q37" s="364"/>
      <c r="R37" s="364"/>
      <c r="S37" s="364"/>
      <c r="T37" s="364"/>
      <c r="U37" s="364"/>
      <c r="V37" s="364"/>
      <c r="W37" s="364"/>
      <c r="X37" s="364"/>
      <c r="Y37" s="364"/>
      <c r="Z37" s="364"/>
      <c r="AA37" s="364"/>
      <c r="AB37" s="364"/>
      <c r="AC37" s="364"/>
      <c r="AD37" s="364"/>
      <c r="AE37" s="364"/>
      <c r="AF37" s="364"/>
      <c r="AG37" s="364"/>
      <c r="AH37" s="365"/>
      <c r="AI37" s="364"/>
      <c r="AJ37" s="365"/>
    </row>
    <row r="38" spans="1:36" s="254" customFormat="1" ht="9.75" thickBot="1" x14ac:dyDescent="0.2">
      <c r="A38" s="372"/>
      <c r="B38" s="454"/>
      <c r="C38" s="455"/>
      <c r="D38" s="456"/>
      <c r="E38" s="457"/>
      <c r="F38" s="367"/>
      <c r="G38" s="367"/>
      <c r="H38" s="367"/>
      <c r="I38" s="367"/>
      <c r="J38" s="367"/>
      <c r="K38" s="367"/>
      <c r="L38" s="368"/>
      <c r="M38" s="458"/>
      <c r="O38" s="369"/>
      <c r="P38" s="370"/>
      <c r="Q38" s="370"/>
      <c r="R38" s="370"/>
      <c r="S38" s="370"/>
      <c r="T38" s="370"/>
      <c r="U38" s="370"/>
      <c r="V38" s="370"/>
      <c r="W38" s="370"/>
      <c r="X38" s="370"/>
      <c r="Y38" s="370"/>
      <c r="Z38" s="370"/>
      <c r="AA38" s="370"/>
      <c r="AB38" s="370"/>
      <c r="AC38" s="370"/>
      <c r="AD38" s="370"/>
      <c r="AE38" s="370"/>
      <c r="AF38" s="370"/>
      <c r="AG38" s="370"/>
      <c r="AH38" s="371"/>
      <c r="AI38" s="370"/>
      <c r="AJ38" s="371"/>
    </row>
    <row r="39" spans="1:36" s="254" customFormat="1" ht="9.75" thickBot="1" x14ac:dyDescent="0.2">
      <c r="E39" s="250"/>
      <c r="F39" s="395">
        <f t="shared" ref="F39:M39" si="2">SUM(F31:F37)</f>
        <v>65.64500000000001</v>
      </c>
      <c r="G39" s="395"/>
      <c r="H39" s="395">
        <f t="shared" si="2"/>
        <v>65.64500000000001</v>
      </c>
      <c r="I39" s="459">
        <f t="shared" si="2"/>
        <v>98.5</v>
      </c>
      <c r="J39" s="459">
        <f t="shared" si="2"/>
        <v>0</v>
      </c>
      <c r="K39" s="459">
        <f t="shared" si="2"/>
        <v>264.95999999999998</v>
      </c>
      <c r="L39" s="459">
        <f t="shared" si="2"/>
        <v>302.40000000000003</v>
      </c>
      <c r="M39" s="459">
        <f t="shared" si="2"/>
        <v>18.720000000000002</v>
      </c>
      <c r="O39" s="460">
        <f>SUM(O31:O37)</f>
        <v>12</v>
      </c>
      <c r="P39" s="461">
        <f t="shared" ref="P39:AJ39" si="3">SUM(P31:P37)</f>
        <v>1</v>
      </c>
      <c r="Q39" s="461">
        <f t="shared" si="3"/>
        <v>6</v>
      </c>
      <c r="R39" s="461">
        <f t="shared" si="3"/>
        <v>7</v>
      </c>
      <c r="S39" s="461">
        <f t="shared" si="3"/>
        <v>6</v>
      </c>
      <c r="T39" s="461">
        <f t="shared" si="3"/>
        <v>0</v>
      </c>
      <c r="U39" s="461">
        <f t="shared" si="3"/>
        <v>1</v>
      </c>
      <c r="V39" s="461">
        <f t="shared" si="3"/>
        <v>1</v>
      </c>
      <c r="W39" s="461">
        <f t="shared" si="3"/>
        <v>0</v>
      </c>
      <c r="X39" s="461">
        <f t="shared" si="3"/>
        <v>4</v>
      </c>
      <c r="Y39" s="461">
        <f t="shared" si="3"/>
        <v>0</v>
      </c>
      <c r="Z39" s="461">
        <f t="shared" si="3"/>
        <v>0</v>
      </c>
      <c r="AA39" s="461">
        <f t="shared" si="3"/>
        <v>4</v>
      </c>
      <c r="AB39" s="461">
        <f t="shared" si="3"/>
        <v>0</v>
      </c>
      <c r="AC39" s="461">
        <f t="shared" si="3"/>
        <v>1</v>
      </c>
      <c r="AD39" s="461">
        <f t="shared" si="3"/>
        <v>1</v>
      </c>
      <c r="AE39" s="461">
        <f t="shared" si="3"/>
        <v>11</v>
      </c>
      <c r="AF39" s="461">
        <f t="shared" si="3"/>
        <v>7</v>
      </c>
      <c r="AG39" s="461">
        <f t="shared" si="3"/>
        <v>5</v>
      </c>
      <c r="AH39" s="461">
        <f t="shared" si="3"/>
        <v>7</v>
      </c>
      <c r="AI39" s="461">
        <f t="shared" si="3"/>
        <v>3</v>
      </c>
      <c r="AJ39" s="396">
        <f t="shared" si="3"/>
        <v>1</v>
      </c>
    </row>
    <row r="40" spans="1:36" s="254" customFormat="1" ht="9" x14ac:dyDescent="0.15">
      <c r="E40" s="250"/>
      <c r="F40" s="318"/>
      <c r="G40" s="318"/>
      <c r="H40" s="318"/>
    </row>
    <row r="41" spans="1:36" s="254" customFormat="1" ht="12.75" customHeight="1" x14ac:dyDescent="0.15">
      <c r="A41" s="784" t="s">
        <v>275</v>
      </c>
      <c r="B41" s="785"/>
      <c r="C41" s="785"/>
      <c r="D41" s="786"/>
      <c r="E41" s="262"/>
      <c r="F41" s="318"/>
      <c r="G41" s="318"/>
      <c r="H41" s="318"/>
    </row>
    <row r="42" spans="1:36" s="254" customFormat="1" ht="9" x14ac:dyDescent="0.15">
      <c r="A42" s="397"/>
      <c r="B42" s="263"/>
      <c r="C42" s="264" t="s">
        <v>120</v>
      </c>
      <c r="D42" s="265" t="s">
        <v>3</v>
      </c>
      <c r="E42" s="262"/>
      <c r="F42" s="326"/>
      <c r="G42" s="326"/>
      <c r="H42" s="326"/>
    </row>
    <row r="43" spans="1:36" s="254" customFormat="1" ht="18" x14ac:dyDescent="0.15">
      <c r="A43" s="787" t="s">
        <v>275</v>
      </c>
      <c r="B43" s="374" t="s">
        <v>276</v>
      </c>
      <c r="C43" s="407">
        <f>0.6*3.2</f>
        <v>1.92</v>
      </c>
      <c r="D43" s="414">
        <v>1</v>
      </c>
      <c r="E43" s="262"/>
      <c r="F43" s="402">
        <f>C43*D43</f>
        <v>1.92</v>
      </c>
      <c r="G43" s="375"/>
      <c r="H43" s="375"/>
    </row>
    <row r="44" spans="1:36" s="254" customFormat="1" ht="18" x14ac:dyDescent="0.15">
      <c r="A44" s="781"/>
      <c r="B44" s="374" t="s">
        <v>277</v>
      </c>
      <c r="C44" s="364">
        <f>1.8*0.6</f>
        <v>1.08</v>
      </c>
      <c r="D44" s="409">
        <v>1</v>
      </c>
      <c r="E44" s="262"/>
      <c r="F44" s="410">
        <f>C44*D44</f>
        <v>1.08</v>
      </c>
      <c r="G44" s="375"/>
      <c r="H44" s="375"/>
    </row>
    <row r="45" spans="1:36" s="254" customFormat="1" ht="18" x14ac:dyDescent="0.15">
      <c r="A45" s="781"/>
      <c r="B45" s="374" t="s">
        <v>278</v>
      </c>
      <c r="C45" s="364">
        <f>3.45*0.6</f>
        <v>2.0699999999999998</v>
      </c>
      <c r="D45" s="409">
        <v>1</v>
      </c>
      <c r="E45" s="262"/>
      <c r="F45" s="410">
        <f>C45*D45</f>
        <v>2.0699999999999998</v>
      </c>
      <c r="G45" s="375"/>
      <c r="H45" s="375"/>
    </row>
    <row r="46" spans="1:36" s="254" customFormat="1" ht="18.75" thickBot="1" x14ac:dyDescent="0.2">
      <c r="A46" s="782"/>
      <c r="B46" s="374" t="s">
        <v>279</v>
      </c>
      <c r="C46" s="364">
        <f>0.6*3.45</f>
        <v>2.0699999999999998</v>
      </c>
      <c r="D46" s="409">
        <v>1</v>
      </c>
      <c r="E46" s="262"/>
      <c r="F46" s="410">
        <f>C46*D46</f>
        <v>2.0699999999999998</v>
      </c>
      <c r="G46" s="375"/>
      <c r="H46" s="375"/>
    </row>
    <row r="47" spans="1:36" s="254" customFormat="1" ht="9.75" thickBot="1" x14ac:dyDescent="0.2">
      <c r="E47" s="250"/>
      <c r="F47" s="395">
        <f>SUM(F43:F46)</f>
        <v>7.1400000000000006</v>
      </c>
      <c r="G47" s="375"/>
    </row>
    <row r="48" spans="1:36" s="254" customFormat="1" ht="12.75" customHeight="1" x14ac:dyDescent="0.15">
      <c r="A48" s="784" t="s">
        <v>264</v>
      </c>
      <c r="B48" s="785"/>
      <c r="C48" s="785"/>
      <c r="D48" s="786"/>
      <c r="E48" s="262"/>
      <c r="F48" s="318"/>
      <c r="G48" s="318"/>
    </row>
    <row r="49" spans="1:12" s="254" customFormat="1" ht="9" x14ac:dyDescent="0.15">
      <c r="A49" s="397"/>
      <c r="B49" s="263"/>
      <c r="C49" s="264" t="s">
        <v>120</v>
      </c>
      <c r="D49" s="265" t="s">
        <v>118</v>
      </c>
      <c r="E49" s="262"/>
      <c r="F49" s="326"/>
      <c r="G49" s="326"/>
    </row>
    <row r="50" spans="1:12" s="254" customFormat="1" ht="9" x14ac:dyDescent="0.15">
      <c r="A50" s="787" t="s">
        <v>144</v>
      </c>
      <c r="B50" s="258" t="s">
        <v>258</v>
      </c>
      <c r="C50" s="407">
        <v>1.5</v>
      </c>
      <c r="D50" s="414">
        <v>2.5</v>
      </c>
      <c r="E50" s="262"/>
      <c r="F50" s="402">
        <f>C50*D50</f>
        <v>3.75</v>
      </c>
      <c r="G50" s="375"/>
    </row>
    <row r="51" spans="1:12" s="254" customFormat="1" ht="9" x14ac:dyDescent="0.15">
      <c r="A51" s="781"/>
      <c r="B51" s="256" t="s">
        <v>261</v>
      </c>
      <c r="C51" s="364">
        <v>0.6</v>
      </c>
      <c r="D51" s="409">
        <v>2.5</v>
      </c>
      <c r="E51" s="262"/>
      <c r="F51" s="410">
        <f>C51*D51</f>
        <v>1.5</v>
      </c>
      <c r="G51" s="375"/>
    </row>
    <row r="52" spans="1:12" s="254" customFormat="1" ht="9" x14ac:dyDescent="0.15">
      <c r="A52" s="781"/>
      <c r="B52" s="256" t="s">
        <v>259</v>
      </c>
      <c r="C52" s="364">
        <v>3.35</v>
      </c>
      <c r="D52" s="409">
        <v>2.5</v>
      </c>
      <c r="E52" s="262"/>
      <c r="F52" s="410">
        <f>C52*D52</f>
        <v>8.375</v>
      </c>
      <c r="G52" s="375"/>
    </row>
    <row r="53" spans="1:12" s="254" customFormat="1" ht="9" x14ac:dyDescent="0.15">
      <c r="A53" s="782"/>
      <c r="B53" s="256" t="s">
        <v>260</v>
      </c>
      <c r="C53" s="364"/>
      <c r="D53" s="409"/>
      <c r="E53" s="262"/>
      <c r="F53" s="410">
        <f>C53*D53</f>
        <v>0</v>
      </c>
      <c r="G53" s="375"/>
    </row>
    <row r="54" spans="1:12" s="254" customFormat="1" ht="9" x14ac:dyDescent="0.15">
      <c r="A54" s="783"/>
      <c r="B54" s="259" t="s">
        <v>142</v>
      </c>
      <c r="C54" s="411">
        <f>1.8+1.8+2</f>
        <v>5.6</v>
      </c>
      <c r="D54" s="412">
        <v>2.5</v>
      </c>
      <c r="E54" s="262"/>
      <c r="F54" s="413">
        <f>C54*D54</f>
        <v>14</v>
      </c>
      <c r="G54" s="375"/>
    </row>
    <row r="55" spans="1:12" s="254" customFormat="1" ht="9" x14ac:dyDescent="0.15">
      <c r="E55" s="250"/>
      <c r="F55" s="403">
        <f>SUM(F50:F54)</f>
        <v>27.625</v>
      </c>
    </row>
    <row r="56" spans="1:12" s="254" customFormat="1" ht="22.5" customHeight="1" x14ac:dyDescent="0.15">
      <c r="A56" s="399" t="s">
        <v>267</v>
      </c>
      <c r="B56" s="260" t="s">
        <v>121</v>
      </c>
      <c r="C56" s="400">
        <v>2.6</v>
      </c>
      <c r="D56" s="401">
        <v>3.5</v>
      </c>
      <c r="E56" s="262"/>
      <c r="F56" s="402">
        <f>C56*D56</f>
        <v>9.1</v>
      </c>
    </row>
    <row r="57" spans="1:12" s="254" customFormat="1" ht="9" x14ac:dyDescent="0.15">
      <c r="E57" s="250"/>
      <c r="F57" s="403">
        <f>SUM(F56:F56)</f>
        <v>9.1</v>
      </c>
    </row>
    <row r="58" spans="1:12" s="254" customFormat="1" ht="9" x14ac:dyDescent="0.15">
      <c r="E58" s="250"/>
    </row>
    <row r="59" spans="1:12" s="254" customFormat="1" ht="22.5" customHeight="1" x14ac:dyDescent="0.15">
      <c r="A59" s="399" t="s">
        <v>370</v>
      </c>
      <c r="B59" s="260" t="s">
        <v>371</v>
      </c>
      <c r="C59" s="400">
        <f>10.2+3.4</f>
        <v>13.6</v>
      </c>
      <c r="D59" s="401">
        <v>1.8</v>
      </c>
      <c r="E59" s="262"/>
      <c r="F59" s="402">
        <f>C59*D59</f>
        <v>24.48</v>
      </c>
    </row>
    <row r="60" spans="1:12" s="254" customFormat="1" ht="9" x14ac:dyDescent="0.15">
      <c r="E60" s="250"/>
      <c r="F60" s="403">
        <f>SUM(F59:F59)</f>
        <v>24.48</v>
      </c>
    </row>
    <row r="61" spans="1:12" s="254" customFormat="1" ht="9" x14ac:dyDescent="0.15">
      <c r="E61" s="250"/>
    </row>
    <row r="62" spans="1:12" s="254" customFormat="1" ht="9" x14ac:dyDescent="0.15">
      <c r="A62" s="784" t="s">
        <v>103</v>
      </c>
      <c r="B62" s="785"/>
      <c r="C62" s="785"/>
      <c r="D62" s="786"/>
      <c r="E62" s="250"/>
      <c r="F62" s="318"/>
      <c r="G62" s="318"/>
      <c r="H62" s="318"/>
    </row>
    <row r="63" spans="1:12" s="254" customFormat="1" ht="18.75" customHeight="1" x14ac:dyDescent="0.15">
      <c r="A63" s="263"/>
      <c r="B63" s="264" t="s">
        <v>117</v>
      </c>
      <c r="C63" s="264" t="s">
        <v>118</v>
      </c>
      <c r="D63" s="265" t="s">
        <v>75</v>
      </c>
      <c r="E63" s="250"/>
      <c r="F63" s="251" t="s">
        <v>269</v>
      </c>
      <c r="G63" s="252" t="s">
        <v>119</v>
      </c>
      <c r="H63" s="253" t="s">
        <v>6</v>
      </c>
      <c r="I63" s="253" t="s">
        <v>7</v>
      </c>
    </row>
    <row r="64" spans="1:12" s="254" customFormat="1" ht="9" x14ac:dyDescent="0.15">
      <c r="A64" s="244" t="s">
        <v>273</v>
      </c>
      <c r="B64" s="244">
        <v>0.8</v>
      </c>
      <c r="C64" s="244">
        <v>2.1</v>
      </c>
      <c r="D64" s="244">
        <v>1</v>
      </c>
      <c r="E64" s="250"/>
      <c r="F64" s="462"/>
      <c r="G64" s="463">
        <f t="shared" ref="G64:G70" si="4">D64*(3*B64*C64)</f>
        <v>5.0400000000000009</v>
      </c>
      <c r="H64" s="464"/>
      <c r="I64" s="462"/>
      <c r="J64" s="465"/>
      <c r="K64" s="465"/>
      <c r="L64" s="465"/>
    </row>
    <row r="65" spans="1:12" s="254" customFormat="1" ht="9" x14ac:dyDescent="0.15">
      <c r="A65" s="245" t="s">
        <v>176</v>
      </c>
      <c r="B65" s="245">
        <v>0.9</v>
      </c>
      <c r="C65" s="245">
        <v>2.1</v>
      </c>
      <c r="D65" s="245">
        <v>2</v>
      </c>
      <c r="E65" s="250"/>
      <c r="F65" s="462">
        <f>B65*D65</f>
        <v>1.8</v>
      </c>
      <c r="G65" s="463">
        <f t="shared" si="4"/>
        <v>11.340000000000002</v>
      </c>
      <c r="H65" s="464">
        <f>D65*(B65+0.8)*0.25*0.15</f>
        <v>0.1275</v>
      </c>
      <c r="I65" s="462">
        <f>D65*(B65+0.8)*(0.25+0.2+0.2)</f>
        <v>2.2100000000000004</v>
      </c>
      <c r="J65" s="465"/>
      <c r="K65" s="465"/>
      <c r="L65" s="465"/>
    </row>
    <row r="66" spans="1:12" s="254" customFormat="1" ht="9" x14ac:dyDescent="0.15">
      <c r="A66" s="245" t="s">
        <v>266</v>
      </c>
      <c r="B66" s="245">
        <v>0.9</v>
      </c>
      <c r="C66" s="245">
        <v>2.1</v>
      </c>
      <c r="D66" s="245">
        <v>1</v>
      </c>
      <c r="E66" s="250"/>
      <c r="F66" s="462">
        <f>B66*D66</f>
        <v>0.9</v>
      </c>
      <c r="G66" s="463">
        <f t="shared" si="4"/>
        <v>5.6700000000000008</v>
      </c>
      <c r="H66" s="464">
        <f>D66*(B66+0.8)*0.25*0.15</f>
        <v>6.3750000000000001E-2</v>
      </c>
      <c r="I66" s="462">
        <f>D66*(B66+0.8)*(0.25+0.2+0.2)</f>
        <v>1.1050000000000002</v>
      </c>
      <c r="J66" s="465"/>
      <c r="K66" s="465"/>
      <c r="L66" s="465"/>
    </row>
    <row r="67" spans="1:12" s="254" customFormat="1" ht="9" x14ac:dyDescent="0.15">
      <c r="A67" s="245" t="s">
        <v>296</v>
      </c>
      <c r="B67" s="245">
        <v>0.9</v>
      </c>
      <c r="C67" s="245">
        <v>2.1</v>
      </c>
      <c r="D67" s="245">
        <v>1</v>
      </c>
      <c r="E67" s="250"/>
      <c r="F67" s="462">
        <f>B67*D67</f>
        <v>0.9</v>
      </c>
      <c r="G67" s="463">
        <f t="shared" si="4"/>
        <v>5.6700000000000008</v>
      </c>
      <c r="H67" s="464">
        <f>D67*(B67+0.8)*0.25*0.15</f>
        <v>6.3750000000000001E-2</v>
      </c>
      <c r="I67" s="462">
        <f>D67*(B67+0.8)*(0.25+0.2+0.2)</f>
        <v>1.1050000000000002</v>
      </c>
      <c r="J67" s="465"/>
      <c r="K67" s="465"/>
      <c r="L67" s="465"/>
    </row>
    <row r="68" spans="1:12" s="254" customFormat="1" ht="9" x14ac:dyDescent="0.15">
      <c r="A68" s="245" t="s">
        <v>274</v>
      </c>
      <c r="B68" s="245">
        <v>0.8</v>
      </c>
      <c r="C68" s="245">
        <v>2.1</v>
      </c>
      <c r="D68" s="245">
        <v>1</v>
      </c>
      <c r="E68" s="250"/>
      <c r="F68" s="462">
        <f>B68*D68</f>
        <v>0.8</v>
      </c>
      <c r="G68" s="463">
        <f t="shared" si="4"/>
        <v>5.0400000000000009</v>
      </c>
      <c r="H68" s="464">
        <f>D68*(B68+0.8)*0.25*0.15</f>
        <v>0.06</v>
      </c>
      <c r="I68" s="462">
        <f>D68*(B68+0.8)*(0.25+0.2+0.2)</f>
        <v>1.04</v>
      </c>
      <c r="J68" s="465"/>
      <c r="K68" s="465"/>
      <c r="L68" s="465"/>
    </row>
    <row r="69" spans="1:12" s="254" customFormat="1" ht="9" x14ac:dyDescent="0.15">
      <c r="A69" s="245" t="s">
        <v>268</v>
      </c>
      <c r="B69" s="245">
        <v>2</v>
      </c>
      <c r="C69" s="245">
        <v>2.1</v>
      </c>
      <c r="D69" s="245">
        <v>1</v>
      </c>
      <c r="E69" s="250"/>
      <c r="F69" s="462"/>
      <c r="G69" s="463">
        <f t="shared" si="4"/>
        <v>12.600000000000001</v>
      </c>
      <c r="H69" s="464"/>
      <c r="I69" s="462"/>
      <c r="J69" s="465"/>
      <c r="K69" s="465"/>
      <c r="L69" s="465"/>
    </row>
    <row r="70" spans="1:12" s="254" customFormat="1" ht="9" x14ac:dyDescent="0.15">
      <c r="A70" s="245" t="s">
        <v>272</v>
      </c>
      <c r="B70" s="245">
        <v>0.9</v>
      </c>
      <c r="C70" s="245">
        <v>2.1</v>
      </c>
      <c r="D70" s="245">
        <v>2</v>
      </c>
      <c r="E70" s="250"/>
      <c r="F70" s="462">
        <f>B70*D70</f>
        <v>1.8</v>
      </c>
      <c r="G70" s="463">
        <f t="shared" si="4"/>
        <v>11.340000000000002</v>
      </c>
      <c r="H70" s="464">
        <f>D70*(B70+0.8)*0.25*0.15</f>
        <v>0.1275</v>
      </c>
      <c r="I70" s="462">
        <f>D70*(B70+0.8)*(0.25+0.2+0.2)</f>
        <v>2.2100000000000004</v>
      </c>
      <c r="J70" s="465"/>
      <c r="K70" s="465"/>
      <c r="L70" s="465"/>
    </row>
    <row r="71" spans="1:12" s="254" customFormat="1" ht="9" x14ac:dyDescent="0.15">
      <c r="A71" s="246" t="s">
        <v>372</v>
      </c>
      <c r="B71" s="246"/>
      <c r="C71" s="246"/>
      <c r="D71" s="246">
        <v>6</v>
      </c>
      <c r="E71" s="250"/>
      <c r="F71" s="462"/>
      <c r="G71" s="463"/>
      <c r="H71" s="464"/>
      <c r="I71" s="462"/>
      <c r="J71" s="465"/>
      <c r="K71" s="465"/>
      <c r="L71" s="465"/>
    </row>
    <row r="72" spans="1:12" s="254" customFormat="1" ht="9" x14ac:dyDescent="0.15">
      <c r="E72" s="250"/>
      <c r="F72" s="403">
        <f>SUM(F64:F70)</f>
        <v>6.2</v>
      </c>
      <c r="G72" s="403">
        <f t="shared" ref="G72:I72" si="5">SUM(G64:G70)</f>
        <v>56.70000000000001</v>
      </c>
      <c r="H72" s="403">
        <f t="shared" si="5"/>
        <v>0.4425</v>
      </c>
      <c r="I72" s="403">
        <f t="shared" si="5"/>
        <v>7.6700000000000017</v>
      </c>
    </row>
    <row r="74" spans="1:12" s="381" customFormat="1" ht="17.25" customHeight="1" x14ac:dyDescent="0.2">
      <c r="A74" s="792" t="s">
        <v>271</v>
      </c>
      <c r="B74" s="793"/>
      <c r="C74" s="793"/>
      <c r="D74" s="794"/>
    </row>
    <row r="75" spans="1:12" x14ac:dyDescent="0.2">
      <c r="E75" s="162"/>
      <c r="F75" s="162"/>
      <c r="G75" s="162"/>
      <c r="H75" s="162"/>
    </row>
    <row r="76" spans="1:12" s="254" customFormat="1" ht="12.75" customHeight="1" x14ac:dyDescent="0.15">
      <c r="A76" s="784" t="s">
        <v>169</v>
      </c>
      <c r="B76" s="785"/>
      <c r="C76" s="785"/>
      <c r="D76" s="786"/>
      <c r="E76" s="262"/>
      <c r="F76" s="326"/>
      <c r="G76" s="326"/>
      <c r="H76" s="326"/>
    </row>
    <row r="77" spans="1:12" s="254" customFormat="1" ht="9" x14ac:dyDescent="0.15"/>
    <row r="78" spans="1:12" s="254" customFormat="1" ht="9" x14ac:dyDescent="0.15">
      <c r="B78" s="379" t="s">
        <v>174</v>
      </c>
      <c r="C78" s="264" t="s">
        <v>173</v>
      </c>
      <c r="D78" s="265" t="s">
        <v>175</v>
      </c>
    </row>
    <row r="79" spans="1:12" s="254" customFormat="1" ht="9" x14ac:dyDescent="0.15">
      <c r="A79" s="435" t="s">
        <v>245</v>
      </c>
      <c r="B79" s="406">
        <v>32</v>
      </c>
      <c r="C79" s="407"/>
      <c r="D79" s="436">
        <f>B79</f>
        <v>32</v>
      </c>
    </row>
    <row r="80" spans="1:12" s="254" customFormat="1" ht="9" x14ac:dyDescent="0.15">
      <c r="A80" s="437" t="s">
        <v>246</v>
      </c>
      <c r="B80" s="438">
        <v>34</v>
      </c>
      <c r="C80" s="439"/>
      <c r="D80" s="440">
        <f>B80</f>
        <v>34</v>
      </c>
    </row>
    <row r="81" spans="1:4" s="254" customFormat="1" ht="9" x14ac:dyDescent="0.15">
      <c r="A81" s="441"/>
      <c r="B81" s="442"/>
      <c r="C81" s="443"/>
      <c r="D81" s="408">
        <f>D79+D80</f>
        <v>66</v>
      </c>
    </row>
    <row r="82" spans="1:4" s="254" customFormat="1" ht="18" x14ac:dyDescent="0.15">
      <c r="A82" s="435" t="s">
        <v>247</v>
      </c>
      <c r="B82" s="406">
        <f>(5+2+1.7+1.7+1.7)*2</f>
        <v>24.199999999999996</v>
      </c>
      <c r="C82" s="407"/>
      <c r="D82" s="436">
        <f>B82</f>
        <v>24.199999999999996</v>
      </c>
    </row>
    <row r="83" spans="1:4" s="254" customFormat="1" ht="18" x14ac:dyDescent="0.15">
      <c r="A83" s="437" t="s">
        <v>248</v>
      </c>
      <c r="B83" s="438">
        <f>(5+1.7+1.7)*2</f>
        <v>16.8</v>
      </c>
      <c r="C83" s="439"/>
      <c r="D83" s="440">
        <f>B83</f>
        <v>16.8</v>
      </c>
    </row>
    <row r="84" spans="1:4" s="254" customFormat="1" ht="9" x14ac:dyDescent="0.15">
      <c r="A84" s="441"/>
      <c r="B84" s="442"/>
      <c r="C84" s="443"/>
      <c r="D84" s="408">
        <f>D82+D83</f>
        <v>41</v>
      </c>
    </row>
    <row r="85" spans="1:4" s="254" customFormat="1" ht="18" x14ac:dyDescent="0.15">
      <c r="A85" s="435" t="s">
        <v>250</v>
      </c>
      <c r="B85" s="406">
        <v>30</v>
      </c>
      <c r="C85" s="407">
        <v>4</v>
      </c>
      <c r="D85" s="436">
        <f>B85*C85</f>
        <v>120</v>
      </c>
    </row>
    <row r="86" spans="1:4" s="254" customFormat="1" ht="18" x14ac:dyDescent="0.15">
      <c r="A86" s="437" t="s">
        <v>251</v>
      </c>
      <c r="B86" s="438">
        <v>30</v>
      </c>
      <c r="C86" s="439">
        <v>4</v>
      </c>
      <c r="D86" s="436">
        <f>B86*C86</f>
        <v>120</v>
      </c>
    </row>
    <row r="87" spans="1:4" s="254" customFormat="1" ht="9" x14ac:dyDescent="0.15">
      <c r="A87" s="441"/>
      <c r="B87" s="442"/>
      <c r="C87" s="443"/>
      <c r="D87" s="408">
        <f>D85+D86</f>
        <v>240</v>
      </c>
    </row>
    <row r="88" spans="1:4" s="254" customFormat="1" ht="9" x14ac:dyDescent="0.15">
      <c r="A88" s="435" t="s">
        <v>252</v>
      </c>
      <c r="B88" s="406">
        <v>1</v>
      </c>
      <c r="C88" s="407"/>
      <c r="D88" s="436">
        <f>B88</f>
        <v>1</v>
      </c>
    </row>
    <row r="89" spans="1:4" s="254" customFormat="1" ht="18" x14ac:dyDescent="0.15">
      <c r="A89" s="437" t="s">
        <v>253</v>
      </c>
      <c r="B89" s="438">
        <v>1</v>
      </c>
      <c r="C89" s="439"/>
      <c r="D89" s="436">
        <f>B89</f>
        <v>1</v>
      </c>
    </row>
    <row r="90" spans="1:4" s="254" customFormat="1" ht="9" x14ac:dyDescent="0.15">
      <c r="A90" s="441"/>
      <c r="B90" s="442"/>
      <c r="C90" s="443"/>
      <c r="D90" s="408">
        <f>D88+D89</f>
        <v>2</v>
      </c>
    </row>
    <row r="91" spans="1:4" s="254" customFormat="1" ht="9" x14ac:dyDescent="0.15">
      <c r="A91" s="435" t="s">
        <v>254</v>
      </c>
      <c r="B91" s="406">
        <v>7</v>
      </c>
      <c r="C91" s="407"/>
      <c r="D91" s="436">
        <f>B91</f>
        <v>7</v>
      </c>
    </row>
    <row r="92" spans="1:4" s="254" customFormat="1" ht="18" x14ac:dyDescent="0.15">
      <c r="A92" s="437" t="s">
        <v>255</v>
      </c>
      <c r="B92" s="438">
        <v>3</v>
      </c>
      <c r="C92" s="439"/>
      <c r="D92" s="436">
        <f>B92</f>
        <v>3</v>
      </c>
    </row>
    <row r="93" spans="1:4" s="254" customFormat="1" ht="9" x14ac:dyDescent="0.15">
      <c r="A93" s="441"/>
      <c r="B93" s="442"/>
      <c r="C93" s="443"/>
      <c r="D93" s="408">
        <f>D91+D92</f>
        <v>10</v>
      </c>
    </row>
    <row r="94" spans="1:4" s="254" customFormat="1" ht="18" x14ac:dyDescent="0.15">
      <c r="A94" s="435" t="s">
        <v>256</v>
      </c>
      <c r="B94" s="406">
        <v>5</v>
      </c>
      <c r="C94" s="407"/>
      <c r="D94" s="436">
        <f>B94</f>
        <v>5</v>
      </c>
    </row>
    <row r="95" spans="1:4" s="254" customFormat="1" ht="18" x14ac:dyDescent="0.15">
      <c r="A95" s="437" t="s">
        <v>257</v>
      </c>
      <c r="B95" s="438">
        <v>5</v>
      </c>
      <c r="C95" s="439"/>
      <c r="D95" s="436">
        <f>B95</f>
        <v>5</v>
      </c>
    </row>
    <row r="96" spans="1:4" s="254" customFormat="1" ht="9" x14ac:dyDescent="0.15">
      <c r="A96" s="441"/>
      <c r="B96" s="442"/>
      <c r="C96" s="443"/>
      <c r="D96" s="408">
        <f>D94+D95</f>
        <v>10</v>
      </c>
    </row>
    <row r="97" spans="1:36" s="448" customFormat="1" ht="6.75" customHeight="1" x14ac:dyDescent="0.15">
      <c r="A97" s="444"/>
      <c r="B97" s="445"/>
      <c r="C97" s="446"/>
      <c r="D97" s="447"/>
    </row>
    <row r="98" spans="1:36" s="254" customFormat="1" ht="27" x14ac:dyDescent="0.15">
      <c r="A98" s="405" t="s">
        <v>249</v>
      </c>
      <c r="B98" s="400">
        <f>(2.1*0.9*0.3)</f>
        <v>0.56700000000000006</v>
      </c>
      <c r="C98" s="400">
        <v>4</v>
      </c>
      <c r="D98" s="408">
        <f>B98*C98</f>
        <v>2.2680000000000002</v>
      </c>
      <c r="E98" s="250"/>
    </row>
    <row r="99" spans="1:36" s="254" customFormat="1" ht="9" x14ac:dyDescent="0.15">
      <c r="E99" s="250"/>
      <c r="F99" s="318"/>
      <c r="G99" s="318"/>
      <c r="H99" s="318"/>
    </row>
    <row r="100" spans="1:36" s="254" customFormat="1" ht="9" x14ac:dyDescent="0.15">
      <c r="E100" s="250"/>
      <c r="F100" s="318"/>
      <c r="G100" s="318"/>
      <c r="H100" s="318"/>
    </row>
    <row r="101" spans="1:36" s="254" customFormat="1" ht="12.75" customHeight="1" thickBot="1" x14ac:dyDescent="0.2">
      <c r="A101" s="784" t="s">
        <v>265</v>
      </c>
      <c r="B101" s="785"/>
      <c r="C101" s="785"/>
      <c r="D101" s="786"/>
      <c r="E101" s="262"/>
      <c r="F101" s="326"/>
      <c r="G101" s="326"/>
      <c r="H101" s="326"/>
    </row>
    <row r="102" spans="1:36" s="250" customFormat="1" ht="36.75" thickBot="1" x14ac:dyDescent="0.2">
      <c r="A102" s="425"/>
      <c r="B102" s="449" t="s">
        <v>111</v>
      </c>
      <c r="C102" s="377" t="s">
        <v>112</v>
      </c>
      <c r="D102" s="377" t="s">
        <v>113</v>
      </c>
      <c r="E102" s="386"/>
      <c r="F102" s="388" t="s">
        <v>122</v>
      </c>
      <c r="G102" s="450" t="s">
        <v>510</v>
      </c>
      <c r="H102" s="450" t="s">
        <v>281</v>
      </c>
      <c r="I102" s="451" t="s">
        <v>509</v>
      </c>
      <c r="J102" s="389" t="s">
        <v>114</v>
      </c>
      <c r="K102" s="389" t="s">
        <v>115</v>
      </c>
      <c r="L102" s="390" t="s">
        <v>262</v>
      </c>
      <c r="M102" s="390" t="s">
        <v>237</v>
      </c>
      <c r="O102" s="391" t="s">
        <v>141</v>
      </c>
      <c r="P102" s="392" t="s">
        <v>140</v>
      </c>
      <c r="Q102" s="392" t="s">
        <v>123</v>
      </c>
      <c r="R102" s="392" t="s">
        <v>124</v>
      </c>
      <c r="S102" s="392" t="s">
        <v>125</v>
      </c>
      <c r="T102" s="392" t="s">
        <v>263</v>
      </c>
      <c r="U102" s="392" t="s">
        <v>126</v>
      </c>
      <c r="V102" s="392" t="s">
        <v>127</v>
      </c>
      <c r="W102" s="393" t="s">
        <v>128</v>
      </c>
      <c r="X102" s="392" t="s">
        <v>129</v>
      </c>
      <c r="Y102" s="392" t="s">
        <v>130</v>
      </c>
      <c r="Z102" s="392" t="s">
        <v>131</v>
      </c>
      <c r="AA102" s="393" t="s">
        <v>132</v>
      </c>
      <c r="AB102" s="392" t="s">
        <v>133</v>
      </c>
      <c r="AC102" s="392" t="s">
        <v>139</v>
      </c>
      <c r="AD102" s="393" t="s">
        <v>134</v>
      </c>
      <c r="AE102" s="393" t="s">
        <v>135</v>
      </c>
      <c r="AF102" s="392" t="s">
        <v>136</v>
      </c>
      <c r="AG102" s="392" t="s">
        <v>137</v>
      </c>
      <c r="AH102" s="394" t="s">
        <v>138</v>
      </c>
      <c r="AI102" s="392" t="s">
        <v>145</v>
      </c>
      <c r="AJ102" s="394" t="s">
        <v>146</v>
      </c>
    </row>
    <row r="103" spans="1:36" s="254" customFormat="1" ht="9" x14ac:dyDescent="0.15">
      <c r="A103" s="359">
        <v>3.6</v>
      </c>
      <c r="B103" s="257" t="s">
        <v>283</v>
      </c>
      <c r="C103" s="242">
        <v>16.899999999999999</v>
      </c>
      <c r="D103" s="243">
        <v>17.2</v>
      </c>
      <c r="E103" s="262"/>
      <c r="F103" s="361">
        <f t="shared" ref="F103:F108" si="6">D103</f>
        <v>17.2</v>
      </c>
      <c r="G103" s="361"/>
      <c r="H103" s="361">
        <f>F103</f>
        <v>17.2</v>
      </c>
      <c r="I103" s="330">
        <f t="shared" ref="I103:I108" si="7">D103</f>
        <v>17.2</v>
      </c>
      <c r="J103" s="361">
        <f>C103</f>
        <v>16.899999999999999</v>
      </c>
      <c r="K103" s="361"/>
      <c r="L103" s="362">
        <f>C103*3.5</f>
        <v>59.149999999999991</v>
      </c>
      <c r="M103" s="452">
        <f>L103</f>
        <v>59.149999999999991</v>
      </c>
      <c r="O103" s="363">
        <v>1</v>
      </c>
      <c r="P103" s="364"/>
      <c r="Q103" s="364"/>
      <c r="R103" s="364">
        <v>1</v>
      </c>
      <c r="S103" s="364"/>
      <c r="T103" s="364">
        <v>1</v>
      </c>
      <c r="U103" s="364"/>
      <c r="V103" s="364"/>
      <c r="W103" s="364"/>
      <c r="X103" s="364"/>
      <c r="Y103" s="364">
        <v>1</v>
      </c>
      <c r="Z103" s="364"/>
      <c r="AA103" s="364"/>
      <c r="AB103" s="364"/>
      <c r="AC103" s="364"/>
      <c r="AD103" s="364"/>
      <c r="AE103" s="364"/>
      <c r="AF103" s="364"/>
      <c r="AG103" s="364">
        <v>1</v>
      </c>
      <c r="AH103" s="365">
        <v>1</v>
      </c>
      <c r="AI103" s="364">
        <v>1</v>
      </c>
      <c r="AJ103" s="365"/>
    </row>
    <row r="104" spans="1:36" s="254" customFormat="1" ht="9" x14ac:dyDescent="0.15">
      <c r="A104" s="359"/>
      <c r="B104" s="257" t="s">
        <v>284</v>
      </c>
      <c r="C104" s="242">
        <v>11</v>
      </c>
      <c r="D104" s="243">
        <v>7.6</v>
      </c>
      <c r="E104" s="262"/>
      <c r="F104" s="361">
        <f t="shared" si="6"/>
        <v>7.6</v>
      </c>
      <c r="G104" s="361">
        <f>D104</f>
        <v>7.6</v>
      </c>
      <c r="H104" s="361">
        <f t="shared" ref="H104:H105" si="8">F104</f>
        <v>7.6</v>
      </c>
      <c r="I104" s="330"/>
      <c r="J104" s="361">
        <f>C104</f>
        <v>11</v>
      </c>
      <c r="K104" s="361"/>
      <c r="L104" s="362">
        <f>C104*3.5</f>
        <v>38.5</v>
      </c>
      <c r="M104" s="452">
        <f>L104</f>
        <v>38.5</v>
      </c>
      <c r="O104" s="363"/>
      <c r="P104" s="364"/>
      <c r="Q104" s="364"/>
      <c r="R104" s="364"/>
      <c r="S104" s="364"/>
      <c r="T104" s="364"/>
      <c r="U104" s="364"/>
      <c r="V104" s="364"/>
      <c r="W104" s="364"/>
      <c r="X104" s="364"/>
      <c r="Y104" s="364"/>
      <c r="Z104" s="364"/>
      <c r="AA104" s="364"/>
      <c r="AB104" s="364"/>
      <c r="AC104" s="364"/>
      <c r="AD104" s="364"/>
      <c r="AE104" s="364"/>
      <c r="AF104" s="364"/>
      <c r="AG104" s="364"/>
      <c r="AH104" s="365"/>
      <c r="AI104" s="364"/>
      <c r="AJ104" s="365"/>
    </row>
    <row r="105" spans="1:36" s="254" customFormat="1" ht="9" x14ac:dyDescent="0.15">
      <c r="A105" s="359"/>
      <c r="B105" s="257" t="s">
        <v>285</v>
      </c>
      <c r="C105" s="242">
        <v>15.9</v>
      </c>
      <c r="D105" s="243">
        <v>14.7</v>
      </c>
      <c r="E105" s="262"/>
      <c r="F105" s="361">
        <f t="shared" si="6"/>
        <v>14.7</v>
      </c>
      <c r="G105" s="361"/>
      <c r="H105" s="361">
        <f t="shared" si="8"/>
        <v>14.7</v>
      </c>
      <c r="I105" s="330">
        <f t="shared" si="7"/>
        <v>14.7</v>
      </c>
      <c r="J105" s="361">
        <f>C105</f>
        <v>15.9</v>
      </c>
      <c r="K105" s="361"/>
      <c r="L105" s="362">
        <f>C105*3.5</f>
        <v>55.65</v>
      </c>
      <c r="M105" s="452">
        <f>L105</f>
        <v>55.65</v>
      </c>
      <c r="O105" s="363"/>
      <c r="P105" s="364"/>
      <c r="Q105" s="364"/>
      <c r="R105" s="364"/>
      <c r="S105" s="364"/>
      <c r="T105" s="364"/>
      <c r="U105" s="364"/>
      <c r="V105" s="364"/>
      <c r="W105" s="364"/>
      <c r="X105" s="364"/>
      <c r="Y105" s="364"/>
      <c r="Z105" s="364"/>
      <c r="AA105" s="364"/>
      <c r="AB105" s="364"/>
      <c r="AC105" s="364"/>
      <c r="AD105" s="364"/>
      <c r="AE105" s="364"/>
      <c r="AF105" s="364"/>
      <c r="AG105" s="364"/>
      <c r="AH105" s="365"/>
      <c r="AI105" s="364"/>
      <c r="AJ105" s="365"/>
    </row>
    <row r="106" spans="1:36" s="254" customFormat="1" ht="9" x14ac:dyDescent="0.15">
      <c r="A106" s="359"/>
      <c r="B106" s="256" t="s">
        <v>259</v>
      </c>
      <c r="C106" s="242">
        <v>16.2</v>
      </c>
      <c r="D106" s="243">
        <v>15.4</v>
      </c>
      <c r="E106" s="262"/>
      <c r="F106" s="330">
        <f t="shared" si="6"/>
        <v>15.4</v>
      </c>
      <c r="G106" s="330"/>
      <c r="H106" s="330">
        <f>F106</f>
        <v>15.4</v>
      </c>
      <c r="I106" s="330">
        <f t="shared" si="7"/>
        <v>15.4</v>
      </c>
      <c r="J106" s="330"/>
      <c r="K106" s="330">
        <f>C106*$A$31</f>
        <v>58.32</v>
      </c>
      <c r="L106" s="453"/>
      <c r="M106" s="324"/>
      <c r="O106" s="363">
        <v>7</v>
      </c>
      <c r="P106" s="364"/>
      <c r="Q106" s="364">
        <v>3</v>
      </c>
      <c r="R106" s="364">
        <v>4</v>
      </c>
      <c r="S106" s="364">
        <v>5</v>
      </c>
      <c r="T106" s="364"/>
      <c r="U106" s="364"/>
      <c r="V106" s="364"/>
      <c r="W106" s="364"/>
      <c r="X106" s="364"/>
      <c r="Y106" s="364"/>
      <c r="Z106" s="364"/>
      <c r="AA106" s="364">
        <v>1</v>
      </c>
      <c r="AB106" s="364"/>
      <c r="AC106" s="364"/>
      <c r="AD106" s="364"/>
      <c r="AE106" s="364">
        <v>7</v>
      </c>
      <c r="AF106" s="364">
        <v>5</v>
      </c>
      <c r="AG106" s="364">
        <v>2</v>
      </c>
      <c r="AH106" s="365">
        <v>2</v>
      </c>
      <c r="AI106" s="364">
        <v>1</v>
      </c>
      <c r="AJ106" s="365"/>
    </row>
    <row r="107" spans="1:36" s="254" customFormat="1" ht="9" x14ac:dyDescent="0.15">
      <c r="A107" s="359"/>
      <c r="B107" s="256" t="s">
        <v>260</v>
      </c>
      <c r="C107" s="242">
        <v>17.5</v>
      </c>
      <c r="D107" s="243">
        <v>13.5</v>
      </c>
      <c r="E107" s="262"/>
      <c r="F107" s="330">
        <f t="shared" si="6"/>
        <v>13.5</v>
      </c>
      <c r="G107" s="330"/>
      <c r="H107" s="330">
        <f>F107</f>
        <v>13.5</v>
      </c>
      <c r="I107" s="330">
        <f t="shared" si="7"/>
        <v>13.5</v>
      </c>
      <c r="J107" s="330"/>
      <c r="K107" s="330">
        <f>C107*$A$31</f>
        <v>63</v>
      </c>
      <c r="L107" s="453"/>
      <c r="M107" s="324"/>
      <c r="O107" s="363">
        <v>3</v>
      </c>
      <c r="P107" s="364"/>
      <c r="Q107" s="364">
        <v>2</v>
      </c>
      <c r="R107" s="364">
        <v>1</v>
      </c>
      <c r="S107" s="364">
        <v>1</v>
      </c>
      <c r="T107" s="364"/>
      <c r="U107" s="364"/>
      <c r="V107" s="364"/>
      <c r="W107" s="364"/>
      <c r="X107" s="364"/>
      <c r="Y107" s="364"/>
      <c r="Z107" s="364"/>
      <c r="AA107" s="364">
        <v>1</v>
      </c>
      <c r="AB107" s="364"/>
      <c r="AC107" s="364"/>
      <c r="AD107" s="364"/>
      <c r="AE107" s="364">
        <v>3</v>
      </c>
      <c r="AF107" s="364">
        <v>1</v>
      </c>
      <c r="AG107" s="364">
        <v>2</v>
      </c>
      <c r="AH107" s="365">
        <v>2</v>
      </c>
      <c r="AI107" s="364">
        <v>1</v>
      </c>
      <c r="AJ107" s="365"/>
    </row>
    <row r="108" spans="1:36" s="254" customFormat="1" ht="9" x14ac:dyDescent="0.15">
      <c r="A108" s="359"/>
      <c r="B108" s="256" t="s">
        <v>142</v>
      </c>
      <c r="C108" s="242">
        <v>7</v>
      </c>
      <c r="D108" s="243">
        <v>3</v>
      </c>
      <c r="E108" s="262"/>
      <c r="F108" s="330">
        <f t="shared" si="6"/>
        <v>3</v>
      </c>
      <c r="G108" s="330"/>
      <c r="H108" s="330">
        <f>F108</f>
        <v>3</v>
      </c>
      <c r="I108" s="330">
        <f t="shared" si="7"/>
        <v>3</v>
      </c>
      <c r="J108" s="330"/>
      <c r="K108" s="330">
        <f>C108*$A$31</f>
        <v>25.2</v>
      </c>
      <c r="L108" s="453"/>
      <c r="M108" s="324"/>
      <c r="O108" s="363">
        <v>1</v>
      </c>
      <c r="P108" s="364">
        <v>1</v>
      </c>
      <c r="Q108" s="364">
        <v>1</v>
      </c>
      <c r="R108" s="364">
        <v>1</v>
      </c>
      <c r="S108" s="364"/>
      <c r="T108" s="364"/>
      <c r="U108" s="364">
        <v>1</v>
      </c>
      <c r="V108" s="364">
        <v>1</v>
      </c>
      <c r="W108" s="364"/>
      <c r="X108" s="364"/>
      <c r="Y108" s="364"/>
      <c r="Z108" s="364"/>
      <c r="AA108" s="364">
        <v>1</v>
      </c>
      <c r="AB108" s="364"/>
      <c r="AC108" s="364">
        <v>1</v>
      </c>
      <c r="AD108" s="364">
        <v>1</v>
      </c>
      <c r="AE108" s="364">
        <v>1</v>
      </c>
      <c r="AF108" s="364">
        <v>1</v>
      </c>
      <c r="AG108" s="364">
        <v>1</v>
      </c>
      <c r="AH108" s="365">
        <v>1</v>
      </c>
      <c r="AI108" s="364"/>
      <c r="AJ108" s="365">
        <v>1</v>
      </c>
    </row>
    <row r="109" spans="1:36" s="254" customFormat="1" ht="9" x14ac:dyDescent="0.15">
      <c r="A109" s="359"/>
      <c r="B109" s="257" t="s">
        <v>143</v>
      </c>
      <c r="C109" s="242">
        <v>24.7</v>
      </c>
      <c r="D109" s="243">
        <v>14</v>
      </c>
      <c r="E109" s="262"/>
      <c r="F109" s="361"/>
      <c r="G109" s="361">
        <f>D109</f>
        <v>14</v>
      </c>
      <c r="H109" s="361"/>
      <c r="I109" s="330"/>
      <c r="J109" s="361"/>
      <c r="K109" s="361"/>
      <c r="L109" s="362">
        <f>C109*3.5</f>
        <v>86.45</v>
      </c>
      <c r="M109" s="452">
        <f>L109</f>
        <v>86.45</v>
      </c>
      <c r="O109" s="363"/>
      <c r="P109" s="364"/>
      <c r="Q109" s="364"/>
      <c r="R109" s="364"/>
      <c r="S109" s="364"/>
      <c r="T109" s="364"/>
      <c r="U109" s="364"/>
      <c r="V109" s="364"/>
      <c r="W109" s="364"/>
      <c r="X109" s="364"/>
      <c r="Y109" s="364"/>
      <c r="Z109" s="364"/>
      <c r="AA109" s="364"/>
      <c r="AB109" s="364"/>
      <c r="AC109" s="364"/>
      <c r="AD109" s="364"/>
      <c r="AE109" s="364"/>
      <c r="AF109" s="364"/>
      <c r="AG109" s="364"/>
      <c r="AH109" s="365"/>
      <c r="AI109" s="364"/>
      <c r="AJ109" s="365"/>
    </row>
    <row r="110" spans="1:36" s="254" customFormat="1" ht="9.75" thickBot="1" x14ac:dyDescent="0.2">
      <c r="A110" s="372"/>
      <c r="B110" s="454"/>
      <c r="C110" s="455"/>
      <c r="D110" s="456"/>
      <c r="E110" s="457"/>
      <c r="F110" s="367"/>
      <c r="G110" s="367"/>
      <c r="H110" s="367"/>
      <c r="I110" s="367"/>
      <c r="J110" s="367"/>
      <c r="K110" s="367"/>
      <c r="L110" s="368"/>
      <c r="M110" s="458"/>
      <c r="O110" s="369"/>
      <c r="P110" s="370"/>
      <c r="Q110" s="370"/>
      <c r="R110" s="370"/>
      <c r="S110" s="370"/>
      <c r="T110" s="370"/>
      <c r="U110" s="370"/>
      <c r="V110" s="370"/>
      <c r="W110" s="370"/>
      <c r="X110" s="370"/>
      <c r="Y110" s="370"/>
      <c r="Z110" s="370"/>
      <c r="AA110" s="370"/>
      <c r="AB110" s="370"/>
      <c r="AC110" s="370"/>
      <c r="AD110" s="370"/>
      <c r="AE110" s="370"/>
      <c r="AF110" s="370"/>
      <c r="AG110" s="370"/>
      <c r="AH110" s="371"/>
      <c r="AI110" s="370"/>
      <c r="AJ110" s="371"/>
    </row>
    <row r="111" spans="1:36" s="254" customFormat="1" ht="9.75" thickBot="1" x14ac:dyDescent="0.2">
      <c r="E111" s="250"/>
      <c r="F111" s="395">
        <f>SUM(F103:F109)</f>
        <v>71.400000000000006</v>
      </c>
      <c r="G111" s="395">
        <f t="shared" ref="G111:H111" si="9">SUM(G103:G109)</f>
        <v>21.6</v>
      </c>
      <c r="H111" s="395">
        <f t="shared" si="9"/>
        <v>71.400000000000006</v>
      </c>
      <c r="I111" s="459">
        <f>SUM(I103:I109)</f>
        <v>63.8</v>
      </c>
      <c r="J111" s="459">
        <f>SUM(J103:J109)</f>
        <v>43.8</v>
      </c>
      <c r="K111" s="459">
        <f>SUM(K103:K109)</f>
        <v>146.51999999999998</v>
      </c>
      <c r="L111" s="459">
        <f>SUM(L103:L109)</f>
        <v>239.75</v>
      </c>
      <c r="M111" s="459">
        <f>SUM(M103:M109)</f>
        <v>239.75</v>
      </c>
      <c r="O111" s="460">
        <f t="shared" ref="O111:AJ111" si="10">SUM(O103:O109)</f>
        <v>12</v>
      </c>
      <c r="P111" s="461">
        <f t="shared" si="10"/>
        <v>1</v>
      </c>
      <c r="Q111" s="461">
        <f t="shared" si="10"/>
        <v>6</v>
      </c>
      <c r="R111" s="461">
        <f t="shared" si="10"/>
        <v>7</v>
      </c>
      <c r="S111" s="461">
        <f t="shared" si="10"/>
        <v>6</v>
      </c>
      <c r="T111" s="461">
        <f t="shared" si="10"/>
        <v>1</v>
      </c>
      <c r="U111" s="461">
        <f t="shared" si="10"/>
        <v>1</v>
      </c>
      <c r="V111" s="461">
        <f t="shared" si="10"/>
        <v>1</v>
      </c>
      <c r="W111" s="461">
        <f t="shared" si="10"/>
        <v>0</v>
      </c>
      <c r="X111" s="461">
        <f t="shared" si="10"/>
        <v>0</v>
      </c>
      <c r="Y111" s="461">
        <f t="shared" si="10"/>
        <v>1</v>
      </c>
      <c r="Z111" s="461">
        <f t="shared" si="10"/>
        <v>0</v>
      </c>
      <c r="AA111" s="461">
        <f t="shared" si="10"/>
        <v>3</v>
      </c>
      <c r="AB111" s="461">
        <f t="shared" si="10"/>
        <v>0</v>
      </c>
      <c r="AC111" s="461">
        <f t="shared" si="10"/>
        <v>1</v>
      </c>
      <c r="AD111" s="461">
        <f t="shared" si="10"/>
        <v>1</v>
      </c>
      <c r="AE111" s="461">
        <f t="shared" si="10"/>
        <v>11</v>
      </c>
      <c r="AF111" s="461">
        <f t="shared" si="10"/>
        <v>7</v>
      </c>
      <c r="AG111" s="461">
        <f t="shared" si="10"/>
        <v>6</v>
      </c>
      <c r="AH111" s="461">
        <f t="shared" si="10"/>
        <v>6</v>
      </c>
      <c r="AI111" s="461">
        <f t="shared" si="10"/>
        <v>3</v>
      </c>
      <c r="AJ111" s="396">
        <f t="shared" si="10"/>
        <v>1</v>
      </c>
    </row>
    <row r="112" spans="1:36" s="254" customFormat="1" ht="9" x14ac:dyDescent="0.15">
      <c r="E112" s="250"/>
      <c r="F112" s="318"/>
      <c r="G112" s="318"/>
      <c r="H112" s="318"/>
    </row>
    <row r="113" spans="1:14" s="254" customFormat="1" ht="12.75" customHeight="1" x14ac:dyDescent="0.15">
      <c r="A113" s="784" t="s">
        <v>264</v>
      </c>
      <c r="B113" s="785"/>
      <c r="C113" s="785"/>
      <c r="D113" s="786"/>
      <c r="E113" s="262"/>
      <c r="F113" s="318"/>
      <c r="G113" s="318"/>
      <c r="H113" s="318"/>
    </row>
    <row r="114" spans="1:14" s="254" customFormat="1" ht="9" x14ac:dyDescent="0.15">
      <c r="A114" s="397">
        <v>3.5</v>
      </c>
      <c r="B114" s="263"/>
      <c r="C114" s="264" t="s">
        <v>120</v>
      </c>
      <c r="D114" s="265" t="s">
        <v>118</v>
      </c>
      <c r="E114" s="262"/>
      <c r="F114" s="326"/>
      <c r="G114" s="326"/>
      <c r="H114" s="326"/>
    </row>
    <row r="115" spans="1:14" s="254" customFormat="1" ht="9" x14ac:dyDescent="0.15">
      <c r="A115" s="781" t="s">
        <v>286</v>
      </c>
      <c r="B115" s="256" t="s">
        <v>259</v>
      </c>
      <c r="C115" s="364">
        <v>3.35</v>
      </c>
      <c r="D115" s="409">
        <v>3.5</v>
      </c>
      <c r="E115" s="262"/>
      <c r="F115" s="402">
        <f>C115*D115</f>
        <v>11.725</v>
      </c>
      <c r="G115" s="375"/>
      <c r="H115" s="375"/>
    </row>
    <row r="116" spans="1:14" s="254" customFormat="1" ht="9" x14ac:dyDescent="0.15">
      <c r="A116" s="782"/>
      <c r="B116" s="256" t="s">
        <v>260</v>
      </c>
      <c r="C116" s="364"/>
      <c r="D116" s="409"/>
      <c r="E116" s="262"/>
      <c r="F116" s="410">
        <f>C116*D116</f>
        <v>0</v>
      </c>
      <c r="G116" s="375"/>
      <c r="H116" s="375"/>
    </row>
    <row r="117" spans="1:14" s="254" customFormat="1" ht="9" x14ac:dyDescent="0.15">
      <c r="A117" s="783"/>
      <c r="B117" s="259" t="s">
        <v>142</v>
      </c>
      <c r="C117" s="411">
        <f>1.8+1.8+2</f>
        <v>5.6</v>
      </c>
      <c r="D117" s="412">
        <v>3.5</v>
      </c>
      <c r="E117" s="262"/>
      <c r="F117" s="413">
        <f>C117*D117</f>
        <v>19.599999999999998</v>
      </c>
      <c r="G117" s="375"/>
      <c r="H117" s="375"/>
    </row>
    <row r="118" spans="1:14" s="254" customFormat="1" ht="9" x14ac:dyDescent="0.15">
      <c r="E118" s="250"/>
      <c r="F118" s="403">
        <f>SUM(F115:F117)</f>
        <v>31.324999999999996</v>
      </c>
    </row>
    <row r="119" spans="1:14" s="254" customFormat="1" ht="22.5" customHeight="1" x14ac:dyDescent="0.15">
      <c r="A119" s="788" t="s">
        <v>267</v>
      </c>
      <c r="B119" s="258" t="s">
        <v>290</v>
      </c>
      <c r="C119" s="407">
        <v>1.5</v>
      </c>
      <c r="D119" s="414">
        <v>3.5</v>
      </c>
      <c r="E119" s="262"/>
      <c r="F119" s="410">
        <f>C119*D119</f>
        <v>5.25</v>
      </c>
      <c r="H119" s="375"/>
    </row>
    <row r="120" spans="1:14" s="254" customFormat="1" ht="22.5" customHeight="1" x14ac:dyDescent="0.15">
      <c r="A120" s="789"/>
      <c r="B120" s="259" t="s">
        <v>121</v>
      </c>
      <c r="C120" s="411">
        <v>2.6</v>
      </c>
      <c r="D120" s="412">
        <v>3.5</v>
      </c>
      <c r="E120" s="262"/>
      <c r="F120" s="410">
        <f>C120*D120</f>
        <v>9.1</v>
      </c>
      <c r="H120" s="375"/>
    </row>
    <row r="121" spans="1:14" s="254" customFormat="1" ht="9" x14ac:dyDescent="0.15">
      <c r="E121" s="250"/>
      <c r="F121" s="403">
        <f>SUM(F119:F120)</f>
        <v>14.35</v>
      </c>
    </row>
    <row r="122" spans="1:14" s="254" customFormat="1" ht="9" x14ac:dyDescent="0.15">
      <c r="E122" s="250"/>
    </row>
    <row r="123" spans="1:14" s="254" customFormat="1" ht="22.5" customHeight="1" x14ac:dyDescent="0.15">
      <c r="A123" s="399" t="s">
        <v>370</v>
      </c>
      <c r="B123" s="260" t="s">
        <v>371</v>
      </c>
      <c r="C123" s="400">
        <f>10.2+3.4</f>
        <v>13.6</v>
      </c>
      <c r="D123" s="401">
        <v>1.8</v>
      </c>
      <c r="E123" s="262"/>
      <c r="F123" s="402">
        <f>C123*D123</f>
        <v>24.48</v>
      </c>
    </row>
    <row r="124" spans="1:14" s="254" customFormat="1" ht="9" x14ac:dyDescent="0.15">
      <c r="E124" s="250"/>
      <c r="F124" s="403">
        <f>SUM(F123:F123)</f>
        <v>24.48</v>
      </c>
    </row>
    <row r="125" spans="1:14" s="254" customFormat="1" ht="9" x14ac:dyDescent="0.15">
      <c r="A125" s="784" t="s">
        <v>103</v>
      </c>
      <c r="B125" s="785"/>
      <c r="C125" s="785"/>
      <c r="D125" s="786"/>
      <c r="E125" s="250"/>
      <c r="F125" s="318"/>
      <c r="G125" s="318"/>
      <c r="H125" s="318"/>
    </row>
    <row r="126" spans="1:14" s="254" customFormat="1" ht="18.75" customHeight="1" x14ac:dyDescent="0.15">
      <c r="A126" s="247"/>
      <c r="B126" s="248" t="s">
        <v>117</v>
      </c>
      <c r="C126" s="248" t="s">
        <v>118</v>
      </c>
      <c r="D126" s="249" t="s">
        <v>75</v>
      </c>
      <c r="E126" s="250"/>
      <c r="F126" s="251" t="s">
        <v>269</v>
      </c>
      <c r="G126" s="261"/>
      <c r="H126" s="261"/>
      <c r="I126" s="252" t="s">
        <v>119</v>
      </c>
      <c r="J126" s="253" t="s">
        <v>6</v>
      </c>
      <c r="K126" s="253" t="s">
        <v>7</v>
      </c>
    </row>
    <row r="127" spans="1:14" s="254" customFormat="1" ht="9" x14ac:dyDescent="0.15">
      <c r="A127" s="245" t="s">
        <v>289</v>
      </c>
      <c r="B127" s="245">
        <v>0.8</v>
      </c>
      <c r="C127" s="245">
        <v>2.1</v>
      </c>
      <c r="D127" s="245">
        <v>2</v>
      </c>
      <c r="E127" s="250"/>
      <c r="F127" s="462"/>
      <c r="G127" s="326"/>
      <c r="H127" s="326"/>
      <c r="I127" s="463">
        <f>D127*(3*B127*C127)</f>
        <v>10.080000000000002</v>
      </c>
      <c r="J127" s="464"/>
      <c r="K127" s="462"/>
      <c r="L127" s="465"/>
      <c r="M127" s="465"/>
      <c r="N127" s="465"/>
    </row>
    <row r="128" spans="1:14" s="254" customFormat="1" ht="9" x14ac:dyDescent="0.15">
      <c r="A128" s="245" t="s">
        <v>369</v>
      </c>
      <c r="B128" s="245">
        <v>0.8</v>
      </c>
      <c r="C128" s="245">
        <v>2.1</v>
      </c>
      <c r="D128" s="245">
        <v>2</v>
      </c>
      <c r="E128" s="250"/>
      <c r="F128" s="462">
        <f>B128*D128</f>
        <v>1.6</v>
      </c>
      <c r="G128" s="326"/>
      <c r="H128" s="326"/>
      <c r="I128" s="463">
        <f>D128*(3*B128*C128)</f>
        <v>10.080000000000002</v>
      </c>
      <c r="J128" s="464">
        <f>D128*(B128+0.8)*0.25*0.15</f>
        <v>0.12</v>
      </c>
      <c r="K128" s="462">
        <f>D128*(B128+0.8)*(0.25+0.2+0.2)</f>
        <v>2.08</v>
      </c>
      <c r="L128" s="465"/>
      <c r="M128" s="465"/>
      <c r="N128" s="465"/>
    </row>
    <row r="129" spans="1:14" s="254" customFormat="1" ht="9" x14ac:dyDescent="0.15">
      <c r="A129" s="245" t="s">
        <v>287</v>
      </c>
      <c r="B129" s="245">
        <v>1</v>
      </c>
      <c r="C129" s="245">
        <v>2.1</v>
      </c>
      <c r="D129" s="245">
        <v>1</v>
      </c>
      <c r="E129" s="250"/>
      <c r="F129" s="462"/>
      <c r="G129" s="326"/>
      <c r="H129" s="326"/>
      <c r="I129" s="463">
        <f>D129*(3*B129*C129)</f>
        <v>6.3000000000000007</v>
      </c>
      <c r="J129" s="464"/>
      <c r="K129" s="462"/>
      <c r="L129" s="465"/>
      <c r="M129" s="465"/>
      <c r="N129" s="465"/>
    </row>
    <row r="130" spans="1:14" s="254" customFormat="1" ht="9" x14ac:dyDescent="0.15">
      <c r="A130" s="245" t="s">
        <v>266</v>
      </c>
      <c r="B130" s="245">
        <v>0.9</v>
      </c>
      <c r="C130" s="245">
        <v>2.1</v>
      </c>
      <c r="D130" s="245">
        <v>1</v>
      </c>
      <c r="E130" s="250"/>
      <c r="F130" s="462">
        <f>B130*D130</f>
        <v>0.9</v>
      </c>
      <c r="G130" s="326"/>
      <c r="H130" s="326"/>
      <c r="I130" s="463">
        <f>D130*(3*B130*C130)</f>
        <v>5.6700000000000008</v>
      </c>
      <c r="J130" s="464">
        <f>D130*(B130+0.8)*0.25*0.15</f>
        <v>6.3750000000000001E-2</v>
      </c>
      <c r="K130" s="462">
        <f>D130*(B130+0.8)*(0.25+0.2+0.2)</f>
        <v>1.1050000000000002</v>
      </c>
      <c r="L130" s="465"/>
      <c r="M130" s="465"/>
      <c r="N130" s="465"/>
    </row>
    <row r="131" spans="1:14" s="254" customFormat="1" ht="9" x14ac:dyDescent="0.15">
      <c r="A131" s="246" t="s">
        <v>288</v>
      </c>
      <c r="B131" s="246">
        <v>0.9</v>
      </c>
      <c r="C131" s="246">
        <v>2.1</v>
      </c>
      <c r="D131" s="246">
        <v>1</v>
      </c>
      <c r="E131" s="250"/>
      <c r="F131" s="462">
        <f>B131*D131</f>
        <v>0.9</v>
      </c>
      <c r="G131" s="326"/>
      <c r="H131" s="326"/>
      <c r="I131" s="463">
        <f>D131*(3*B131*C131)</f>
        <v>5.6700000000000008</v>
      </c>
      <c r="J131" s="464">
        <f>D131*(B131+0.8)*0.25*0.15</f>
        <v>6.3750000000000001E-2</v>
      </c>
      <c r="K131" s="462">
        <f>D131*(B131+0.8)*(0.25+0.2+0.2)</f>
        <v>1.1050000000000002</v>
      </c>
      <c r="L131" s="465"/>
      <c r="M131" s="465"/>
      <c r="N131" s="465"/>
    </row>
    <row r="132" spans="1:14" s="254" customFormat="1" ht="9" x14ac:dyDescent="0.15">
      <c r="A132" s="262" t="s">
        <v>372</v>
      </c>
      <c r="B132" s="262"/>
      <c r="C132" s="262"/>
      <c r="D132" s="262">
        <v>6</v>
      </c>
      <c r="E132" s="250"/>
      <c r="F132" s="367"/>
      <c r="G132" s="326"/>
      <c r="H132" s="326"/>
      <c r="I132" s="375"/>
      <c r="J132" s="466"/>
      <c r="K132" s="367"/>
      <c r="L132" s="375"/>
      <c r="M132" s="375"/>
      <c r="N132" s="375"/>
    </row>
    <row r="133" spans="1:14" s="254" customFormat="1" ht="9" x14ac:dyDescent="0.15">
      <c r="E133" s="250"/>
      <c r="F133" s="403">
        <f>SUM(F127:F131)</f>
        <v>3.4</v>
      </c>
      <c r="G133" s="403"/>
      <c r="H133" s="403">
        <f t="shared" ref="H133:K133" si="11">SUM(H127:H131)</f>
        <v>0</v>
      </c>
      <c r="I133" s="403">
        <f t="shared" si="11"/>
        <v>37.800000000000004</v>
      </c>
      <c r="J133" s="403">
        <f t="shared" si="11"/>
        <v>0.2475</v>
      </c>
      <c r="K133" s="403">
        <f t="shared" si="11"/>
        <v>4.2900000000000009</v>
      </c>
    </row>
    <row r="136" spans="1:14" s="381" customFormat="1" ht="17.25" customHeight="1" x14ac:dyDescent="0.2">
      <c r="A136" s="792" t="s">
        <v>457</v>
      </c>
      <c r="B136" s="793"/>
      <c r="C136" s="793"/>
      <c r="D136" s="794"/>
    </row>
    <row r="138" spans="1:14" s="254" customFormat="1" ht="9" x14ac:dyDescent="0.15">
      <c r="A138" s="797" t="s">
        <v>475</v>
      </c>
      <c r="B138" s="798"/>
      <c r="C138" s="799"/>
      <c r="E138" s="250"/>
      <c r="F138" s="318"/>
      <c r="G138" s="318"/>
      <c r="H138" s="318"/>
    </row>
    <row r="139" spans="1:14" s="254" customFormat="1" ht="18" x14ac:dyDescent="0.15">
      <c r="B139" s="790" t="s">
        <v>476</v>
      </c>
      <c r="C139" s="791"/>
      <c r="E139" s="250"/>
      <c r="F139" s="423" t="s">
        <v>417</v>
      </c>
      <c r="G139" s="417" t="s">
        <v>414</v>
      </c>
      <c r="H139" s="423" t="s">
        <v>417</v>
      </c>
      <c r="I139" s="417" t="s">
        <v>415</v>
      </c>
      <c r="J139" s="424" t="s">
        <v>416</v>
      </c>
    </row>
    <row r="140" spans="1:14" s="254" customFormat="1" ht="9" x14ac:dyDescent="0.15">
      <c r="A140" s="254">
        <v>2.8</v>
      </c>
      <c r="B140" s="425" t="s">
        <v>412</v>
      </c>
      <c r="C140" s="380" t="s">
        <v>413</v>
      </c>
      <c r="E140" s="250"/>
      <c r="F140" s="315"/>
      <c r="G140" s="315"/>
      <c r="H140" s="315"/>
      <c r="I140" s="315"/>
      <c r="J140" s="317"/>
    </row>
    <row r="141" spans="1:14" s="254" customFormat="1" ht="9" x14ac:dyDescent="0.15">
      <c r="A141" s="426" t="s">
        <v>410</v>
      </c>
      <c r="B141" s="427">
        <v>77.25</v>
      </c>
      <c r="C141" s="402">
        <v>61.25</v>
      </c>
      <c r="E141" s="250"/>
      <c r="F141" s="316"/>
      <c r="G141" s="315">
        <f>C141*$A$140*F141</f>
        <v>0</v>
      </c>
      <c r="H141" s="316"/>
      <c r="I141" s="315">
        <f>H141*B141</f>
        <v>0</v>
      </c>
      <c r="J141" s="317">
        <f>H141*C141</f>
        <v>0</v>
      </c>
    </row>
    <row r="142" spans="1:14" s="254" customFormat="1" ht="9" x14ac:dyDescent="0.15">
      <c r="A142" s="319" t="s">
        <v>411</v>
      </c>
      <c r="B142" s="428">
        <v>13.55</v>
      </c>
      <c r="C142" s="410">
        <v>14.82</v>
      </c>
      <c r="E142" s="250"/>
      <c r="F142" s="316"/>
      <c r="G142" s="315">
        <f t="shared" ref="G142:G143" si="12">C142*$A$140*F142</f>
        <v>0</v>
      </c>
      <c r="H142" s="316"/>
      <c r="I142" s="315">
        <f>H142*B142</f>
        <v>0</v>
      </c>
      <c r="J142" s="317">
        <f t="shared" ref="J142:J143" si="13">H142*C142</f>
        <v>0</v>
      </c>
    </row>
    <row r="143" spans="1:14" s="254" customFormat="1" ht="9" x14ac:dyDescent="0.15">
      <c r="A143" s="429" t="s">
        <v>285</v>
      </c>
      <c r="B143" s="430">
        <v>25.54</v>
      </c>
      <c r="C143" s="413">
        <v>23</v>
      </c>
      <c r="E143" s="250"/>
      <c r="F143" s="316"/>
      <c r="G143" s="315">
        <f t="shared" si="12"/>
        <v>0</v>
      </c>
      <c r="H143" s="316"/>
      <c r="I143" s="315">
        <f>H143*B143</f>
        <v>0</v>
      </c>
      <c r="J143" s="317">
        <f t="shared" si="13"/>
        <v>0</v>
      </c>
    </row>
    <row r="144" spans="1:14" s="254" customFormat="1" ht="9" x14ac:dyDescent="0.15">
      <c r="E144" s="250"/>
      <c r="F144" s="318"/>
      <c r="G144" s="318"/>
      <c r="H144" s="318"/>
      <c r="I144" s="318"/>
    </row>
    <row r="145" spans="1:10" s="254" customFormat="1" ht="9" x14ac:dyDescent="0.15">
      <c r="B145" s="795" t="s">
        <v>477</v>
      </c>
      <c r="C145" s="796"/>
      <c r="E145" s="250"/>
      <c r="F145" s="318"/>
      <c r="G145" s="318"/>
      <c r="H145" s="318"/>
      <c r="I145" s="318"/>
    </row>
    <row r="146" spans="1:10" s="254" customFormat="1" ht="9" x14ac:dyDescent="0.15">
      <c r="B146" s="425" t="s">
        <v>412</v>
      </c>
      <c r="C146" s="380" t="s">
        <v>413</v>
      </c>
      <c r="E146" s="250"/>
      <c r="F146" s="318"/>
      <c r="G146" s="318"/>
      <c r="H146" s="318"/>
      <c r="I146" s="318"/>
    </row>
    <row r="147" spans="1:10" s="254" customFormat="1" ht="9" x14ac:dyDescent="0.15">
      <c r="A147" s="426" t="s">
        <v>410</v>
      </c>
      <c r="B147" s="427">
        <v>91.86</v>
      </c>
      <c r="C147" s="402">
        <v>55.4</v>
      </c>
      <c r="E147" s="250"/>
      <c r="F147" s="316"/>
      <c r="G147" s="315">
        <f>C147*$A$140*F147</f>
        <v>0</v>
      </c>
      <c r="H147" s="316"/>
      <c r="I147" s="315">
        <f>H147*B147</f>
        <v>0</v>
      </c>
      <c r="J147" s="317">
        <f t="shared" ref="J147:J149" si="14">H147*C147</f>
        <v>0</v>
      </c>
    </row>
    <row r="148" spans="1:10" s="254" customFormat="1" ht="9" x14ac:dyDescent="0.15">
      <c r="A148" s="319" t="s">
        <v>411</v>
      </c>
      <c r="B148" s="428"/>
      <c r="C148" s="410"/>
      <c r="E148" s="250"/>
      <c r="F148" s="316"/>
      <c r="G148" s="315">
        <f t="shared" ref="G148:G149" si="15">C148*$A$140*F148</f>
        <v>0</v>
      </c>
      <c r="H148" s="316"/>
      <c r="I148" s="315">
        <f>H148*B148</f>
        <v>0</v>
      </c>
      <c r="J148" s="317">
        <f t="shared" si="14"/>
        <v>0</v>
      </c>
    </row>
    <row r="149" spans="1:10" s="254" customFormat="1" ht="9" x14ac:dyDescent="0.15">
      <c r="A149" s="429" t="s">
        <v>285</v>
      </c>
      <c r="B149" s="430">
        <v>25.54</v>
      </c>
      <c r="C149" s="413">
        <v>23</v>
      </c>
      <c r="E149" s="250"/>
      <c r="F149" s="316"/>
      <c r="G149" s="315">
        <f t="shared" si="15"/>
        <v>0</v>
      </c>
      <c r="H149" s="316"/>
      <c r="I149" s="315">
        <f>H149*B149</f>
        <v>0</v>
      </c>
      <c r="J149" s="317">
        <f t="shared" si="14"/>
        <v>0</v>
      </c>
    </row>
    <row r="150" spans="1:10" s="254" customFormat="1" ht="9" x14ac:dyDescent="0.15">
      <c r="E150" s="250"/>
      <c r="F150" s="318"/>
      <c r="G150" s="318"/>
      <c r="H150" s="318"/>
      <c r="I150" s="318"/>
    </row>
    <row r="151" spans="1:10" s="254" customFormat="1" ht="9" x14ac:dyDescent="0.15">
      <c r="A151" s="797" t="s">
        <v>478</v>
      </c>
      <c r="B151" s="798"/>
      <c r="C151" s="799"/>
      <c r="D151" s="254" t="s">
        <v>996</v>
      </c>
      <c r="E151" s="250"/>
      <c r="F151" s="318"/>
      <c r="G151" s="318"/>
      <c r="H151" s="318"/>
      <c r="I151" s="318"/>
    </row>
    <row r="152" spans="1:10" s="254" customFormat="1" ht="9" x14ac:dyDescent="0.15">
      <c r="B152" s="790" t="s">
        <v>476</v>
      </c>
      <c r="C152" s="791"/>
      <c r="E152" s="250"/>
      <c r="F152" s="318"/>
      <c r="G152" s="318"/>
      <c r="H152" s="318"/>
      <c r="I152" s="318"/>
    </row>
    <row r="153" spans="1:10" s="254" customFormat="1" ht="9" x14ac:dyDescent="0.15">
      <c r="B153" s="425" t="s">
        <v>412</v>
      </c>
      <c r="C153" s="380" t="s">
        <v>413</v>
      </c>
      <c r="E153" s="250"/>
      <c r="F153" s="318"/>
      <c r="G153" s="318"/>
      <c r="H153" s="318"/>
      <c r="I153" s="318"/>
    </row>
    <row r="154" spans="1:10" s="254" customFormat="1" ht="9" x14ac:dyDescent="0.15">
      <c r="A154" s="426" t="s">
        <v>410</v>
      </c>
      <c r="B154" s="427">
        <v>73.400000000000006</v>
      </c>
      <c r="C154" s="402">
        <v>47.25</v>
      </c>
      <c r="E154" s="250"/>
      <c r="F154" s="316">
        <v>2</v>
      </c>
      <c r="G154" s="315">
        <f>C154*$A$140*F154</f>
        <v>264.59999999999997</v>
      </c>
      <c r="H154" s="316"/>
      <c r="I154" s="315">
        <f>H154*B154</f>
        <v>0</v>
      </c>
      <c r="J154" s="317">
        <f t="shared" ref="J154:J156" si="16">H154*C154</f>
        <v>0</v>
      </c>
    </row>
    <row r="155" spans="1:10" s="254" customFormat="1" ht="9" x14ac:dyDescent="0.15">
      <c r="A155" s="319" t="s">
        <v>411</v>
      </c>
      <c r="B155" s="428">
        <v>14.65</v>
      </c>
      <c r="C155" s="410">
        <v>15.35</v>
      </c>
      <c r="E155" s="250"/>
      <c r="F155" s="316">
        <v>2</v>
      </c>
      <c r="G155" s="315">
        <f t="shared" ref="G155:G156" si="17">C155*$A$140*F155</f>
        <v>85.96</v>
      </c>
      <c r="H155" s="316"/>
      <c r="I155" s="315">
        <f>H155*B155</f>
        <v>0</v>
      </c>
      <c r="J155" s="317">
        <f t="shared" si="16"/>
        <v>0</v>
      </c>
    </row>
    <row r="156" spans="1:10" s="254" customFormat="1" ht="9" x14ac:dyDescent="0.15">
      <c r="A156" s="429" t="s">
        <v>285</v>
      </c>
      <c r="B156" s="430">
        <v>30.28</v>
      </c>
      <c r="C156" s="413">
        <v>22.3</v>
      </c>
      <c r="E156" s="250"/>
      <c r="F156" s="316">
        <v>2</v>
      </c>
      <c r="G156" s="315">
        <f t="shared" si="17"/>
        <v>124.88</v>
      </c>
      <c r="H156" s="316"/>
      <c r="I156" s="315">
        <f>H156*B156</f>
        <v>0</v>
      </c>
      <c r="J156" s="317">
        <f t="shared" si="16"/>
        <v>0</v>
      </c>
    </row>
    <row r="157" spans="1:10" s="254" customFormat="1" ht="9" x14ac:dyDescent="0.15">
      <c r="E157" s="250"/>
      <c r="F157" s="318"/>
      <c r="G157" s="318"/>
      <c r="H157" s="318"/>
      <c r="I157" s="318"/>
    </row>
    <row r="158" spans="1:10" s="254" customFormat="1" ht="9" x14ac:dyDescent="0.15">
      <c r="B158" s="795" t="s">
        <v>477</v>
      </c>
      <c r="C158" s="796"/>
      <c r="E158" s="250"/>
      <c r="F158" s="318"/>
      <c r="G158" s="318"/>
      <c r="H158" s="318"/>
      <c r="I158" s="318"/>
    </row>
    <row r="159" spans="1:10" s="254" customFormat="1" ht="9" x14ac:dyDescent="0.15">
      <c r="B159" s="425" t="s">
        <v>412</v>
      </c>
      <c r="C159" s="380" t="s">
        <v>413</v>
      </c>
      <c r="E159" s="250"/>
      <c r="F159" s="318"/>
      <c r="G159" s="318"/>
      <c r="H159" s="318"/>
      <c r="I159" s="318"/>
    </row>
    <row r="160" spans="1:10" s="254" customFormat="1" ht="9" x14ac:dyDescent="0.15">
      <c r="A160" s="426" t="s">
        <v>410</v>
      </c>
      <c r="B160" s="427">
        <v>88.5</v>
      </c>
      <c r="C160" s="402">
        <v>50.3</v>
      </c>
      <c r="E160" s="250"/>
      <c r="F160" s="316"/>
      <c r="G160" s="315">
        <f>C160*$A$140*F160</f>
        <v>0</v>
      </c>
      <c r="H160" s="316"/>
      <c r="I160" s="315">
        <f>H160*B160</f>
        <v>0</v>
      </c>
      <c r="J160" s="317">
        <f t="shared" ref="J160:J162" si="18">H160*C160</f>
        <v>0</v>
      </c>
    </row>
    <row r="161" spans="1:10" s="254" customFormat="1" ht="9" x14ac:dyDescent="0.15">
      <c r="A161" s="319" t="s">
        <v>411</v>
      </c>
      <c r="B161" s="428"/>
      <c r="C161" s="410"/>
      <c r="E161" s="250"/>
      <c r="F161" s="316"/>
      <c r="G161" s="315">
        <f t="shared" ref="G161:G162" si="19">C161*$A$140*F161</f>
        <v>0</v>
      </c>
      <c r="H161" s="316"/>
      <c r="I161" s="315">
        <f>H161*B161</f>
        <v>0</v>
      </c>
      <c r="J161" s="317">
        <f t="shared" si="18"/>
        <v>0</v>
      </c>
    </row>
    <row r="162" spans="1:10" s="254" customFormat="1" ht="9" x14ac:dyDescent="0.15">
      <c r="A162" s="429" t="s">
        <v>285</v>
      </c>
      <c r="B162" s="430">
        <v>30.28</v>
      </c>
      <c r="C162" s="413">
        <v>22.3</v>
      </c>
      <c r="E162" s="250"/>
      <c r="F162" s="316"/>
      <c r="G162" s="315">
        <f t="shared" si="19"/>
        <v>0</v>
      </c>
      <c r="H162" s="316"/>
      <c r="I162" s="315">
        <f>H162*B162</f>
        <v>0</v>
      </c>
      <c r="J162" s="317">
        <f t="shared" si="18"/>
        <v>0</v>
      </c>
    </row>
    <row r="163" spans="1:10" s="254" customFormat="1" ht="9" x14ac:dyDescent="0.15">
      <c r="E163" s="250"/>
      <c r="F163" s="318"/>
      <c r="G163" s="318"/>
      <c r="H163" s="318"/>
      <c r="I163" s="318"/>
    </row>
    <row r="164" spans="1:10" s="254" customFormat="1" ht="9" x14ac:dyDescent="0.15">
      <c r="A164" s="797" t="s">
        <v>479</v>
      </c>
      <c r="B164" s="798"/>
      <c r="C164" s="799"/>
      <c r="D164" s="254" t="s">
        <v>997</v>
      </c>
      <c r="E164" s="250"/>
      <c r="F164" s="318"/>
      <c r="G164" s="318"/>
      <c r="H164" s="318"/>
      <c r="I164" s="318"/>
    </row>
    <row r="165" spans="1:10" s="254" customFormat="1" ht="9" x14ac:dyDescent="0.15">
      <c r="B165" s="790" t="s">
        <v>476</v>
      </c>
      <c r="C165" s="791"/>
      <c r="D165" s="254" t="s">
        <v>998</v>
      </c>
      <c r="E165" s="250"/>
      <c r="F165" s="318"/>
      <c r="G165" s="318"/>
      <c r="H165" s="318"/>
      <c r="I165" s="318"/>
    </row>
    <row r="166" spans="1:10" s="254" customFormat="1" ht="9" x14ac:dyDescent="0.15">
      <c r="B166" s="425" t="s">
        <v>412</v>
      </c>
      <c r="C166" s="380" t="s">
        <v>413</v>
      </c>
      <c r="E166" s="250"/>
      <c r="F166" s="318"/>
      <c r="G166" s="318"/>
      <c r="H166" s="318"/>
      <c r="I166" s="318"/>
    </row>
    <row r="167" spans="1:10" s="254" customFormat="1" ht="9" x14ac:dyDescent="0.15">
      <c r="A167" s="426" t="s">
        <v>410</v>
      </c>
      <c r="B167" s="427">
        <v>68.150000000000006</v>
      </c>
      <c r="C167" s="402">
        <v>46.6</v>
      </c>
      <c r="E167" s="250"/>
      <c r="F167" s="316">
        <v>2</v>
      </c>
      <c r="G167" s="315">
        <f>C167*$A$140*F167</f>
        <v>260.95999999999998</v>
      </c>
      <c r="H167" s="316"/>
      <c r="I167" s="315">
        <f>H167*B167</f>
        <v>0</v>
      </c>
      <c r="J167" s="317">
        <f t="shared" ref="J167:J169" si="20">H167*C167</f>
        <v>0</v>
      </c>
    </row>
    <row r="168" spans="1:10" s="254" customFormat="1" ht="9" x14ac:dyDescent="0.15">
      <c r="A168" s="319" t="s">
        <v>411</v>
      </c>
      <c r="B168" s="428">
        <v>13</v>
      </c>
      <c r="C168" s="410">
        <v>14.5</v>
      </c>
      <c r="E168" s="250"/>
      <c r="F168" s="316">
        <v>2</v>
      </c>
      <c r="G168" s="315">
        <f t="shared" ref="G168:G169" si="21">C168*$A$140*F168</f>
        <v>81.199999999999989</v>
      </c>
      <c r="H168" s="316"/>
      <c r="I168" s="315">
        <f>H168*B168</f>
        <v>0</v>
      </c>
      <c r="J168" s="317">
        <f t="shared" si="20"/>
        <v>0</v>
      </c>
    </row>
    <row r="169" spans="1:10" s="254" customFormat="1" ht="9" x14ac:dyDescent="0.15">
      <c r="A169" s="429" t="s">
        <v>285</v>
      </c>
      <c r="B169" s="430">
        <v>30</v>
      </c>
      <c r="C169" s="413">
        <v>22.2</v>
      </c>
      <c r="E169" s="250"/>
      <c r="F169" s="316">
        <v>2</v>
      </c>
      <c r="G169" s="315">
        <f t="shared" si="21"/>
        <v>124.32</v>
      </c>
      <c r="H169" s="316"/>
      <c r="I169" s="315">
        <f>H169*B169</f>
        <v>0</v>
      </c>
      <c r="J169" s="317">
        <f t="shared" si="20"/>
        <v>0</v>
      </c>
    </row>
    <row r="170" spans="1:10" s="254" customFormat="1" ht="9" x14ac:dyDescent="0.15">
      <c r="E170" s="250"/>
      <c r="F170" s="318"/>
      <c r="G170" s="318"/>
      <c r="H170" s="318"/>
      <c r="I170" s="318"/>
    </row>
    <row r="171" spans="1:10" s="254" customFormat="1" ht="9" x14ac:dyDescent="0.15">
      <c r="B171" s="795" t="s">
        <v>477</v>
      </c>
      <c r="C171" s="796"/>
      <c r="E171" s="250"/>
      <c r="F171" s="318"/>
      <c r="G171" s="318"/>
      <c r="H171" s="318"/>
      <c r="I171" s="318"/>
    </row>
    <row r="172" spans="1:10" s="254" customFormat="1" ht="9" x14ac:dyDescent="0.15">
      <c r="B172" s="425" t="s">
        <v>412</v>
      </c>
      <c r="C172" s="380" t="s">
        <v>413</v>
      </c>
      <c r="E172" s="250"/>
      <c r="F172" s="318"/>
      <c r="G172" s="318"/>
      <c r="H172" s="318"/>
      <c r="I172" s="318"/>
    </row>
    <row r="173" spans="1:10" s="254" customFormat="1" ht="9" x14ac:dyDescent="0.15">
      <c r="A173" s="426" t="s">
        <v>410</v>
      </c>
      <c r="B173" s="427">
        <v>84.5</v>
      </c>
      <c r="C173" s="402">
        <v>46.95</v>
      </c>
      <c r="E173" s="250"/>
      <c r="F173" s="316"/>
      <c r="G173" s="315">
        <f>C173*$A$140*F173</f>
        <v>0</v>
      </c>
      <c r="H173" s="316"/>
      <c r="I173" s="315">
        <f>H173*B173</f>
        <v>0</v>
      </c>
      <c r="J173" s="317">
        <f t="shared" ref="J173:J175" si="22">H173*C173</f>
        <v>0</v>
      </c>
    </row>
    <row r="174" spans="1:10" s="254" customFormat="1" ht="9" x14ac:dyDescent="0.15">
      <c r="A174" s="319" t="s">
        <v>411</v>
      </c>
      <c r="B174" s="428"/>
      <c r="C174" s="410"/>
      <c r="E174" s="250"/>
      <c r="F174" s="316"/>
      <c r="G174" s="315">
        <f t="shared" ref="G174:G175" si="23">C174*$A$140*F174</f>
        <v>0</v>
      </c>
      <c r="H174" s="316"/>
      <c r="I174" s="315">
        <f>H174*B174</f>
        <v>0</v>
      </c>
      <c r="J174" s="317">
        <f t="shared" si="22"/>
        <v>0</v>
      </c>
    </row>
    <row r="175" spans="1:10" s="254" customFormat="1" ht="9" x14ac:dyDescent="0.15">
      <c r="A175" s="429" t="s">
        <v>285</v>
      </c>
      <c r="B175" s="430">
        <v>30</v>
      </c>
      <c r="C175" s="413">
        <v>22.2</v>
      </c>
      <c r="E175" s="250"/>
      <c r="F175" s="316"/>
      <c r="G175" s="315">
        <f t="shared" si="23"/>
        <v>0</v>
      </c>
      <c r="H175" s="316"/>
      <c r="I175" s="315">
        <f>H175*B175</f>
        <v>0</v>
      </c>
      <c r="J175" s="317">
        <f t="shared" si="22"/>
        <v>0</v>
      </c>
    </row>
    <row r="176" spans="1:10" s="254" customFormat="1" ht="9" x14ac:dyDescent="0.15">
      <c r="E176" s="250"/>
      <c r="F176" s="318"/>
      <c r="G176" s="318"/>
      <c r="H176" s="318"/>
      <c r="I176" s="318"/>
    </row>
    <row r="177" spans="1:10" s="254" customFormat="1" ht="9" x14ac:dyDescent="0.15">
      <c r="A177" s="797" t="s">
        <v>480</v>
      </c>
      <c r="B177" s="798"/>
      <c r="C177" s="799"/>
      <c r="E177" s="250"/>
      <c r="F177" s="318"/>
      <c r="G177" s="318"/>
      <c r="H177" s="318"/>
      <c r="I177" s="318"/>
    </row>
    <row r="178" spans="1:10" s="254" customFormat="1" ht="9" x14ac:dyDescent="0.15">
      <c r="B178" s="790" t="s">
        <v>476</v>
      </c>
      <c r="C178" s="791"/>
      <c r="E178" s="250"/>
      <c r="F178" s="318"/>
      <c r="G178" s="318"/>
      <c r="H178" s="318"/>
      <c r="I178" s="318"/>
    </row>
    <row r="179" spans="1:10" s="254" customFormat="1" ht="9" x14ac:dyDescent="0.15">
      <c r="B179" s="425" t="s">
        <v>412</v>
      </c>
      <c r="C179" s="380" t="s">
        <v>413</v>
      </c>
      <c r="E179" s="250"/>
      <c r="F179" s="318"/>
      <c r="G179" s="318"/>
      <c r="H179" s="318"/>
      <c r="I179" s="318"/>
    </row>
    <row r="180" spans="1:10" s="254" customFormat="1" ht="9" x14ac:dyDescent="0.15">
      <c r="A180" s="426" t="s">
        <v>410</v>
      </c>
      <c r="B180" s="427">
        <v>62.8</v>
      </c>
      <c r="C180" s="402">
        <v>36.65</v>
      </c>
      <c r="E180" s="250"/>
      <c r="F180" s="316"/>
      <c r="G180" s="315">
        <f>C180*$A$140*F180</f>
        <v>0</v>
      </c>
      <c r="H180" s="316"/>
      <c r="I180" s="315">
        <f>H180*B180</f>
        <v>0</v>
      </c>
      <c r="J180" s="317">
        <f t="shared" ref="J180:J182" si="24">H180*C180</f>
        <v>0</v>
      </c>
    </row>
    <row r="181" spans="1:10" s="254" customFormat="1" ht="9" x14ac:dyDescent="0.15">
      <c r="A181" s="319" t="s">
        <v>411</v>
      </c>
      <c r="B181" s="428">
        <v>14.83</v>
      </c>
      <c r="C181" s="410">
        <v>15.42</v>
      </c>
      <c r="E181" s="250"/>
      <c r="F181" s="316"/>
      <c r="G181" s="315">
        <f t="shared" ref="G181:G182" si="25">C181*$A$140*F181</f>
        <v>0</v>
      </c>
      <c r="H181" s="316"/>
      <c r="I181" s="315">
        <f>H181*B181</f>
        <v>0</v>
      </c>
      <c r="J181" s="317">
        <f t="shared" si="24"/>
        <v>0</v>
      </c>
    </row>
    <row r="182" spans="1:10" s="254" customFormat="1" ht="9" x14ac:dyDescent="0.15">
      <c r="A182" s="429" t="s">
        <v>285</v>
      </c>
      <c r="B182" s="430">
        <v>27.65</v>
      </c>
      <c r="C182" s="413">
        <v>22.42</v>
      </c>
      <c r="E182" s="250"/>
      <c r="F182" s="316"/>
      <c r="G182" s="315">
        <f t="shared" si="25"/>
        <v>0</v>
      </c>
      <c r="H182" s="316"/>
      <c r="I182" s="315">
        <f>H182*B182</f>
        <v>0</v>
      </c>
      <c r="J182" s="317">
        <f t="shared" si="24"/>
        <v>0</v>
      </c>
    </row>
    <row r="183" spans="1:10" s="254" customFormat="1" ht="9" x14ac:dyDescent="0.15">
      <c r="E183" s="250"/>
      <c r="F183" s="318"/>
      <c r="G183" s="318"/>
      <c r="H183" s="318"/>
      <c r="I183" s="318"/>
    </row>
    <row r="184" spans="1:10" s="254" customFormat="1" ht="9" x14ac:dyDescent="0.15">
      <c r="B184" s="795" t="s">
        <v>477</v>
      </c>
      <c r="C184" s="796"/>
      <c r="E184" s="250"/>
      <c r="F184" s="318"/>
      <c r="G184" s="318"/>
      <c r="H184" s="318"/>
      <c r="I184" s="318"/>
    </row>
    <row r="185" spans="1:10" s="254" customFormat="1" ht="9" x14ac:dyDescent="0.15">
      <c r="B185" s="425" t="s">
        <v>412</v>
      </c>
      <c r="C185" s="380" t="s">
        <v>413</v>
      </c>
      <c r="E185" s="250"/>
      <c r="F185" s="318"/>
      <c r="G185" s="318"/>
      <c r="H185" s="318"/>
      <c r="I185" s="318"/>
    </row>
    <row r="186" spans="1:10" s="254" customFormat="1" ht="9" x14ac:dyDescent="0.15">
      <c r="A186" s="426" t="s">
        <v>410</v>
      </c>
      <c r="B186" s="427">
        <v>78.44</v>
      </c>
      <c r="C186" s="402">
        <v>36.840000000000003</v>
      </c>
      <c r="E186" s="250"/>
      <c r="F186" s="316"/>
      <c r="G186" s="315">
        <f>C186*$A$140*F186</f>
        <v>0</v>
      </c>
      <c r="H186" s="316"/>
      <c r="I186" s="315">
        <f>H186*B186</f>
        <v>0</v>
      </c>
      <c r="J186" s="317">
        <f t="shared" ref="J186:J188" si="26">H186*C186</f>
        <v>0</v>
      </c>
    </row>
    <row r="187" spans="1:10" s="254" customFormat="1" ht="9" x14ac:dyDescent="0.15">
      <c r="A187" s="319" t="s">
        <v>411</v>
      </c>
      <c r="B187" s="428"/>
      <c r="C187" s="410"/>
      <c r="E187" s="250"/>
      <c r="F187" s="316"/>
      <c r="G187" s="315">
        <f t="shared" ref="G187:G188" si="27">C187*$A$140*F187</f>
        <v>0</v>
      </c>
      <c r="H187" s="316"/>
      <c r="I187" s="315">
        <f>H187*B187</f>
        <v>0</v>
      </c>
      <c r="J187" s="317">
        <f t="shared" si="26"/>
        <v>0</v>
      </c>
    </row>
    <row r="188" spans="1:10" s="254" customFormat="1" ht="9" x14ac:dyDescent="0.15">
      <c r="A188" s="429" t="s">
        <v>285</v>
      </c>
      <c r="B188" s="430">
        <v>27.65</v>
      </c>
      <c r="C188" s="413">
        <v>22.42</v>
      </c>
      <c r="E188" s="250"/>
      <c r="F188" s="316"/>
      <c r="G188" s="315">
        <f t="shared" si="27"/>
        <v>0</v>
      </c>
      <c r="H188" s="316"/>
      <c r="I188" s="315">
        <f>H188*B188</f>
        <v>0</v>
      </c>
      <c r="J188" s="317">
        <f t="shared" si="26"/>
        <v>0</v>
      </c>
    </row>
    <row r="189" spans="1:10" s="254" customFormat="1" ht="9" x14ac:dyDescent="0.15">
      <c r="E189" s="250"/>
      <c r="F189" s="318"/>
      <c r="G189" s="422">
        <f>SUM(G141:G188)</f>
        <v>941.91999999999985</v>
      </c>
      <c r="H189" s="318"/>
      <c r="I189" s="422">
        <f>SUM(I141:I188)</f>
        <v>0</v>
      </c>
      <c r="J189" s="422">
        <f>SUM(J141:J188)</f>
        <v>0</v>
      </c>
    </row>
    <row r="190" spans="1:10" s="254" customFormat="1" ht="9" x14ac:dyDescent="0.15">
      <c r="E190" s="250"/>
      <c r="F190" s="318"/>
      <c r="G190" s="417" t="s">
        <v>414</v>
      </c>
      <c r="H190" s="318"/>
      <c r="I190" s="417" t="s">
        <v>415</v>
      </c>
      <c r="J190" s="424" t="s">
        <v>416</v>
      </c>
    </row>
    <row r="191" spans="1:10" s="254" customFormat="1" ht="9" x14ac:dyDescent="0.15">
      <c r="E191" s="250"/>
      <c r="F191" s="318"/>
      <c r="G191" s="318"/>
      <c r="H191" s="318"/>
    </row>
    <row r="192" spans="1:10" s="254" customFormat="1" ht="9" x14ac:dyDescent="0.15">
      <c r="A192" s="431" t="s">
        <v>121</v>
      </c>
      <c r="B192" s="432" t="s">
        <v>412</v>
      </c>
      <c r="C192" s="433" t="s">
        <v>413</v>
      </c>
      <c r="D192" s="433" t="s">
        <v>118</v>
      </c>
      <c r="E192" s="250"/>
      <c r="F192" s="417" t="s">
        <v>414</v>
      </c>
      <c r="G192" s="417" t="s">
        <v>434</v>
      </c>
      <c r="H192" s="318"/>
    </row>
    <row r="193" spans="1:8" s="254" customFormat="1" ht="9" x14ac:dyDescent="0.15">
      <c r="A193" s="434" t="s">
        <v>1007</v>
      </c>
      <c r="B193" s="420">
        <v>20.7</v>
      </c>
      <c r="C193" s="409">
        <v>24.7</v>
      </c>
      <c r="D193" s="402">
        <v>2.8</v>
      </c>
      <c r="E193" s="250"/>
      <c r="F193" s="323">
        <f>C193*D193</f>
        <v>69.16</v>
      </c>
      <c r="G193" s="323">
        <f>G194*2</f>
        <v>41.4</v>
      </c>
      <c r="H193" s="318"/>
    </row>
    <row r="194" spans="1:8" s="254" customFormat="1" ht="9" x14ac:dyDescent="0.15">
      <c r="A194" s="320" t="s">
        <v>1008</v>
      </c>
      <c r="B194" s="420">
        <v>20.7</v>
      </c>
      <c r="C194" s="409">
        <v>24.7</v>
      </c>
      <c r="D194" s="410">
        <v>2.5</v>
      </c>
      <c r="E194" s="250"/>
      <c r="F194" s="324">
        <f t="shared" ref="F194" si="28">C194*D194</f>
        <v>61.75</v>
      </c>
      <c r="G194" s="324">
        <f>B194</f>
        <v>20.7</v>
      </c>
      <c r="H194" s="318"/>
    </row>
    <row r="195" spans="1:8" s="254" customFormat="1" ht="9" x14ac:dyDescent="0.15">
      <c r="A195" s="434" t="s">
        <v>427</v>
      </c>
      <c r="B195" s="420">
        <v>29</v>
      </c>
      <c r="C195" s="409">
        <v>42.1</v>
      </c>
      <c r="D195" s="402">
        <v>2.8</v>
      </c>
      <c r="E195" s="250"/>
      <c r="F195" s="323">
        <f>C195*D195</f>
        <v>117.88</v>
      </c>
      <c r="G195" s="323">
        <f>B195</f>
        <v>29</v>
      </c>
      <c r="H195" s="318"/>
    </row>
    <row r="196" spans="1:8" s="254" customFormat="1" ht="9" x14ac:dyDescent="0.15">
      <c r="A196" s="320" t="s">
        <v>428</v>
      </c>
      <c r="B196" s="420">
        <v>20.7</v>
      </c>
      <c r="C196" s="409">
        <v>24.7</v>
      </c>
      <c r="D196" s="410">
        <v>2.5</v>
      </c>
      <c r="E196" s="250"/>
      <c r="F196" s="324">
        <f t="shared" ref="F196:F207" si="29">C196*D196</f>
        <v>61.75</v>
      </c>
      <c r="G196" s="324">
        <f>B196</f>
        <v>20.7</v>
      </c>
      <c r="H196" s="318"/>
    </row>
    <row r="197" spans="1:8" s="254" customFormat="1" ht="9" x14ac:dyDescent="0.15">
      <c r="A197" s="320" t="s">
        <v>429</v>
      </c>
      <c r="B197" s="420">
        <v>27.93</v>
      </c>
      <c r="C197" s="409">
        <v>31.65</v>
      </c>
      <c r="D197" s="410">
        <v>2.8</v>
      </c>
      <c r="E197" s="250"/>
      <c r="F197" s="324">
        <f t="shared" si="29"/>
        <v>88.61999999999999</v>
      </c>
      <c r="G197" s="324">
        <f t="shared" ref="G197:G198" si="30">B197</f>
        <v>27.93</v>
      </c>
      <c r="H197" s="318"/>
    </row>
    <row r="198" spans="1:8" s="254" customFormat="1" ht="9" x14ac:dyDescent="0.15">
      <c r="A198" s="320" t="s">
        <v>430</v>
      </c>
      <c r="B198" s="420">
        <v>20.7</v>
      </c>
      <c r="C198" s="409">
        <v>40</v>
      </c>
      <c r="D198" s="410">
        <v>2.8</v>
      </c>
      <c r="E198" s="250"/>
      <c r="F198" s="324">
        <f t="shared" si="29"/>
        <v>112</v>
      </c>
      <c r="G198" s="324">
        <f t="shared" si="30"/>
        <v>20.7</v>
      </c>
      <c r="H198" s="318"/>
    </row>
    <row r="199" spans="1:8" s="254" customFormat="1" ht="9" x14ac:dyDescent="0.15">
      <c r="A199" s="321" t="s">
        <v>418</v>
      </c>
      <c r="B199" s="420">
        <v>27.93</v>
      </c>
      <c r="C199" s="409">
        <v>31.65</v>
      </c>
      <c r="D199" s="410">
        <v>2.8</v>
      </c>
      <c r="E199" s="250"/>
      <c r="F199" s="324">
        <f t="shared" si="29"/>
        <v>88.61999999999999</v>
      </c>
      <c r="G199" s="324">
        <v>20.7</v>
      </c>
      <c r="H199" s="318"/>
    </row>
    <row r="200" spans="1:8" s="254" customFormat="1" ht="9" x14ac:dyDescent="0.15">
      <c r="A200" s="321" t="s">
        <v>419</v>
      </c>
      <c r="B200" s="420">
        <v>27.93</v>
      </c>
      <c r="C200" s="409">
        <v>31.65</v>
      </c>
      <c r="D200" s="410">
        <v>2.8</v>
      </c>
      <c r="E200" s="250"/>
      <c r="F200" s="324">
        <f t="shared" si="29"/>
        <v>88.61999999999999</v>
      </c>
      <c r="G200" s="324">
        <v>20.7</v>
      </c>
      <c r="H200" s="318"/>
    </row>
    <row r="201" spans="1:8" s="254" customFormat="1" ht="9" x14ac:dyDescent="0.15">
      <c r="A201" s="321" t="s">
        <v>420</v>
      </c>
      <c r="B201" s="420">
        <v>27.93</v>
      </c>
      <c r="C201" s="409">
        <v>31.65</v>
      </c>
      <c r="D201" s="410">
        <v>2.8</v>
      </c>
      <c r="E201" s="250"/>
      <c r="F201" s="324">
        <f t="shared" si="29"/>
        <v>88.61999999999999</v>
      </c>
      <c r="G201" s="324">
        <v>20.7</v>
      </c>
      <c r="H201" s="318"/>
    </row>
    <row r="202" spans="1:8" s="254" customFormat="1" ht="9" x14ac:dyDescent="0.15">
      <c r="A202" s="321" t="s">
        <v>421</v>
      </c>
      <c r="B202" s="420">
        <v>27.93</v>
      </c>
      <c r="C202" s="409">
        <v>31.65</v>
      </c>
      <c r="D202" s="410">
        <v>2.8</v>
      </c>
      <c r="E202" s="250"/>
      <c r="F202" s="324">
        <f t="shared" si="29"/>
        <v>88.61999999999999</v>
      </c>
      <c r="G202" s="324">
        <v>20.7</v>
      </c>
      <c r="H202" s="318"/>
    </row>
    <row r="203" spans="1:8" s="254" customFormat="1" ht="9" x14ac:dyDescent="0.15">
      <c r="A203" s="321" t="s">
        <v>422</v>
      </c>
      <c r="B203" s="420">
        <v>27.93</v>
      </c>
      <c r="C203" s="409">
        <v>31.65</v>
      </c>
      <c r="D203" s="410">
        <v>2.8</v>
      </c>
      <c r="E203" s="250"/>
      <c r="F203" s="324">
        <f t="shared" si="29"/>
        <v>88.61999999999999</v>
      </c>
      <c r="G203" s="324">
        <v>20.7</v>
      </c>
      <c r="H203" s="318"/>
    </row>
    <row r="204" spans="1:8" s="254" customFormat="1" ht="9" x14ac:dyDescent="0.15">
      <c r="A204" s="321" t="s">
        <v>423</v>
      </c>
      <c r="B204" s="420">
        <v>27.93</v>
      </c>
      <c r="C204" s="409">
        <v>31.65</v>
      </c>
      <c r="D204" s="410">
        <v>2.8</v>
      </c>
      <c r="E204" s="250"/>
      <c r="F204" s="324">
        <f t="shared" si="29"/>
        <v>88.61999999999999</v>
      </c>
      <c r="G204" s="324">
        <v>20.7</v>
      </c>
      <c r="H204" s="318"/>
    </row>
    <row r="205" spans="1:8" s="254" customFormat="1" ht="9" x14ac:dyDescent="0.15">
      <c r="A205" s="321" t="s">
        <v>424</v>
      </c>
      <c r="B205" s="420">
        <v>27.93</v>
      </c>
      <c r="C205" s="409">
        <v>31.65</v>
      </c>
      <c r="D205" s="410">
        <v>2.8</v>
      </c>
      <c r="E205" s="250"/>
      <c r="F205" s="324">
        <f t="shared" si="29"/>
        <v>88.61999999999999</v>
      </c>
      <c r="G205" s="324">
        <v>20.7</v>
      </c>
      <c r="H205" s="318"/>
    </row>
    <row r="206" spans="1:8" s="254" customFormat="1" ht="9" x14ac:dyDescent="0.15">
      <c r="A206" s="321" t="s">
        <v>425</v>
      </c>
      <c r="B206" s="420">
        <v>27.93</v>
      </c>
      <c r="C206" s="409">
        <v>31.65</v>
      </c>
      <c r="D206" s="410">
        <v>2.8</v>
      </c>
      <c r="E206" s="250"/>
      <c r="F206" s="324">
        <f t="shared" si="29"/>
        <v>88.61999999999999</v>
      </c>
      <c r="G206" s="324">
        <v>20.7</v>
      </c>
      <c r="H206" s="318"/>
    </row>
    <row r="207" spans="1:8" s="254" customFormat="1" ht="9" x14ac:dyDescent="0.15">
      <c r="A207" s="322" t="s">
        <v>426</v>
      </c>
      <c r="B207" s="421">
        <v>27.93</v>
      </c>
      <c r="C207" s="412">
        <v>31.65</v>
      </c>
      <c r="D207" s="413">
        <v>2.8</v>
      </c>
      <c r="E207" s="250"/>
      <c r="F207" s="325">
        <f t="shared" si="29"/>
        <v>88.61999999999999</v>
      </c>
      <c r="G207" s="324">
        <v>20.7</v>
      </c>
      <c r="H207" s="318"/>
    </row>
    <row r="208" spans="1:8" s="254" customFormat="1" ht="9" x14ac:dyDescent="0.15">
      <c r="E208" s="250"/>
      <c r="F208" s="422">
        <f>SUM(F193:F207)</f>
        <v>1308.7399999999996</v>
      </c>
      <c r="G208" s="422">
        <f>SUM(G193:G207)</f>
        <v>346.7299999999999</v>
      </c>
      <c r="H208" s="318"/>
    </row>
    <row r="211" spans="1:10" s="381" customFormat="1" ht="17.25" customHeight="1" x14ac:dyDescent="0.2">
      <c r="A211" s="792" t="s">
        <v>458</v>
      </c>
      <c r="B211" s="793"/>
      <c r="C211" s="793"/>
      <c r="D211" s="794"/>
    </row>
    <row r="212" spans="1:10" s="254" customFormat="1" ht="18" x14ac:dyDescent="0.15">
      <c r="B212" s="415" t="s">
        <v>412</v>
      </c>
      <c r="C212" s="416" t="s">
        <v>413</v>
      </c>
      <c r="D212" s="416" t="s">
        <v>118</v>
      </c>
      <c r="E212" s="250"/>
      <c r="F212" s="417" t="s">
        <v>439</v>
      </c>
      <c r="G212" s="417" t="s">
        <v>414</v>
      </c>
      <c r="H212" s="418" t="s">
        <v>441</v>
      </c>
      <c r="I212" s="418" t="s">
        <v>440</v>
      </c>
      <c r="J212" s="417" t="s">
        <v>114</v>
      </c>
    </row>
    <row r="213" spans="1:10" s="254" customFormat="1" ht="9" x14ac:dyDescent="0.15">
      <c r="A213" s="244" t="s">
        <v>438</v>
      </c>
      <c r="B213" s="419">
        <v>13</v>
      </c>
      <c r="C213" s="407">
        <v>15</v>
      </c>
      <c r="D213" s="414">
        <v>2.5</v>
      </c>
      <c r="E213" s="250"/>
      <c r="F213" s="327">
        <f>B213</f>
        <v>13</v>
      </c>
      <c r="G213" s="328">
        <f>C213*D213</f>
        <v>37.5</v>
      </c>
      <c r="H213" s="328">
        <f>(4.3+1.3)*D213</f>
        <v>14</v>
      </c>
      <c r="I213" s="328">
        <f>H213*2</f>
        <v>28</v>
      </c>
      <c r="J213" s="329">
        <v>20</v>
      </c>
    </row>
    <row r="214" spans="1:10" s="254" customFormat="1" ht="9" x14ac:dyDescent="0.15">
      <c r="A214" s="245" t="s">
        <v>410</v>
      </c>
      <c r="B214" s="420"/>
      <c r="C214" s="364">
        <v>55</v>
      </c>
      <c r="D214" s="409">
        <v>2.5</v>
      </c>
      <c r="E214" s="250"/>
      <c r="F214" s="330"/>
      <c r="G214" s="331">
        <f>C214*D214</f>
        <v>137.5</v>
      </c>
      <c r="H214" s="331"/>
      <c r="I214" s="364"/>
      <c r="J214" s="332"/>
    </row>
    <row r="215" spans="1:10" s="254" customFormat="1" ht="9" x14ac:dyDescent="0.15">
      <c r="A215" s="246" t="s">
        <v>285</v>
      </c>
      <c r="B215" s="421"/>
      <c r="C215" s="411">
        <v>15</v>
      </c>
      <c r="D215" s="412">
        <v>2.5</v>
      </c>
      <c r="E215" s="250"/>
      <c r="F215" s="333"/>
      <c r="G215" s="334">
        <f>C215*D215</f>
        <v>37.5</v>
      </c>
      <c r="H215" s="334"/>
      <c r="I215" s="411"/>
      <c r="J215" s="335"/>
    </row>
    <row r="216" spans="1:10" s="254" customFormat="1" ht="9" x14ac:dyDescent="0.15">
      <c r="E216" s="250"/>
      <c r="F216" s="422">
        <f>SUM(F213:F215)</f>
        <v>13</v>
      </c>
      <c r="G216" s="422">
        <f>SUM(G213:G215)</f>
        <v>212.5</v>
      </c>
      <c r="H216" s="422">
        <f t="shared" ref="H216:I216" si="31">SUM(H213:H215)</f>
        <v>14</v>
      </c>
      <c r="I216" s="422">
        <f t="shared" si="31"/>
        <v>28</v>
      </c>
      <c r="J216" s="422">
        <f>SUM(J213:J215)</f>
        <v>20</v>
      </c>
    </row>
    <row r="218" spans="1:10" s="381" customFormat="1" ht="17.25" customHeight="1" x14ac:dyDescent="0.2">
      <c r="A218" s="792" t="s">
        <v>473</v>
      </c>
      <c r="B218" s="793"/>
      <c r="C218" s="793"/>
      <c r="D218" s="794"/>
    </row>
    <row r="219" spans="1:10" x14ac:dyDescent="0.2">
      <c r="E219" s="162"/>
      <c r="F219" s="162"/>
      <c r="G219" s="162"/>
      <c r="H219" s="162"/>
    </row>
    <row r="220" spans="1:10" s="254" customFormat="1" ht="12.75" customHeight="1" x14ac:dyDescent="0.15">
      <c r="A220" s="784" t="s">
        <v>169</v>
      </c>
      <c r="B220" s="785"/>
      <c r="C220" s="785"/>
      <c r="D220" s="786"/>
      <c r="E220" s="262"/>
      <c r="F220" s="326"/>
      <c r="G220" s="326"/>
      <c r="H220" s="326"/>
    </row>
    <row r="221" spans="1:10" s="254" customFormat="1" ht="9" x14ac:dyDescent="0.15"/>
    <row r="222" spans="1:10" s="254" customFormat="1" ht="9" x14ac:dyDescent="0.15">
      <c r="B222" s="379" t="s">
        <v>174</v>
      </c>
      <c r="C222" s="264" t="s">
        <v>173</v>
      </c>
      <c r="D222" s="265" t="s">
        <v>175</v>
      </c>
    </row>
    <row r="223" spans="1:10" s="254" customFormat="1" ht="27" x14ac:dyDescent="0.15">
      <c r="A223" s="405" t="s">
        <v>249</v>
      </c>
      <c r="B223" s="400">
        <f>(2.1*0.9*0.3)</f>
        <v>0.56700000000000006</v>
      </c>
      <c r="C223" s="400">
        <v>1</v>
      </c>
      <c r="D223" s="408">
        <f>B223*C223</f>
        <v>0.56700000000000006</v>
      </c>
      <c r="E223" s="250"/>
    </row>
    <row r="224" spans="1:10" s="254" customFormat="1" ht="36" x14ac:dyDescent="0.15">
      <c r="A224" s="405" t="s">
        <v>968</v>
      </c>
      <c r="B224" s="400">
        <f>3+4+25</f>
        <v>32</v>
      </c>
      <c r="C224" s="400">
        <v>4.0999999999999996</v>
      </c>
      <c r="D224" s="408">
        <f>B224*C224</f>
        <v>131.19999999999999</v>
      </c>
      <c r="E224" s="250"/>
    </row>
    <row r="225" spans="1:26" s="254" customFormat="1" ht="9" x14ac:dyDescent="0.15">
      <c r="E225" s="250"/>
      <c r="F225" s="318"/>
      <c r="G225" s="318"/>
      <c r="H225" s="318"/>
    </row>
    <row r="226" spans="1:26" s="254" customFormat="1" ht="9" x14ac:dyDescent="0.15">
      <c r="E226" s="250"/>
      <c r="F226" s="318"/>
      <c r="G226" s="318"/>
      <c r="H226" s="318"/>
    </row>
    <row r="227" spans="1:26" s="254" customFormat="1" ht="12.75" customHeight="1" thickBot="1" x14ac:dyDescent="0.2">
      <c r="A227" s="803" t="s">
        <v>265</v>
      </c>
      <c r="B227" s="804"/>
      <c r="C227" s="804"/>
      <c r="D227" s="805"/>
      <c r="E227" s="262"/>
      <c r="F227" s="326"/>
      <c r="G227" s="326"/>
      <c r="H227" s="326"/>
    </row>
    <row r="228" spans="1:26" s="250" customFormat="1" ht="27.75" thickBot="1" x14ac:dyDescent="0.2">
      <c r="A228" s="382"/>
      <c r="B228" s="383" t="s">
        <v>111</v>
      </c>
      <c r="C228" s="384" t="s">
        <v>112</v>
      </c>
      <c r="D228" s="385" t="s">
        <v>113</v>
      </c>
      <c r="E228" s="386"/>
      <c r="F228" s="387" t="s">
        <v>463</v>
      </c>
      <c r="G228" s="388" t="s">
        <v>105</v>
      </c>
      <c r="H228" s="389" t="s">
        <v>464</v>
      </c>
      <c r="I228" s="389" t="s">
        <v>465</v>
      </c>
      <c r="J228" s="390" t="s">
        <v>466</v>
      </c>
      <c r="K228" s="390" t="s">
        <v>467</v>
      </c>
      <c r="M228" s="391" t="s">
        <v>141</v>
      </c>
      <c r="N228" s="392" t="s">
        <v>123</v>
      </c>
      <c r="O228" s="392" t="s">
        <v>124</v>
      </c>
      <c r="P228" s="392" t="s">
        <v>125</v>
      </c>
      <c r="Q228" s="392" t="s">
        <v>263</v>
      </c>
      <c r="R228" s="392" t="s">
        <v>468</v>
      </c>
      <c r="S228" s="392" t="s">
        <v>130</v>
      </c>
      <c r="T228" s="393" t="s">
        <v>132</v>
      </c>
      <c r="U228" s="393" t="s">
        <v>134</v>
      </c>
      <c r="V228" s="393" t="s">
        <v>135</v>
      </c>
      <c r="W228" s="392" t="s">
        <v>136</v>
      </c>
      <c r="X228" s="392" t="s">
        <v>137</v>
      </c>
      <c r="Y228" s="394" t="s">
        <v>138</v>
      </c>
      <c r="Z228" s="392" t="s">
        <v>145</v>
      </c>
    </row>
    <row r="229" spans="1:26" s="254" customFormat="1" ht="27" x14ac:dyDescent="0.15">
      <c r="A229" s="359"/>
      <c r="B229" s="257" t="s">
        <v>459</v>
      </c>
      <c r="C229" s="242">
        <v>29.2</v>
      </c>
      <c r="D229" s="352">
        <v>37.15</v>
      </c>
      <c r="E229" s="262"/>
      <c r="F229" s="360">
        <f t="shared" ref="F229:F234" si="32">D229</f>
        <v>37.15</v>
      </c>
      <c r="G229" s="361"/>
      <c r="H229" s="361">
        <f>C229</f>
        <v>29.2</v>
      </c>
      <c r="I229" s="361"/>
      <c r="J229" s="362">
        <f>C229*3.5</f>
        <v>102.2</v>
      </c>
      <c r="K229" s="362"/>
      <c r="M229" s="363">
        <v>1</v>
      </c>
      <c r="N229" s="364"/>
      <c r="O229" s="364">
        <v>1</v>
      </c>
      <c r="P229" s="364"/>
      <c r="Q229" s="364"/>
      <c r="R229" s="364">
        <v>1</v>
      </c>
      <c r="S229" s="364"/>
      <c r="T229" s="364"/>
      <c r="U229" s="364"/>
      <c r="V229" s="364"/>
      <c r="W229" s="364"/>
      <c r="X229" s="364"/>
      <c r="Y229" s="365"/>
      <c r="Z229" s="364">
        <v>1</v>
      </c>
    </row>
    <row r="230" spans="1:26" s="254" customFormat="1" ht="27" x14ac:dyDescent="0.15">
      <c r="A230" s="359"/>
      <c r="B230" s="257" t="s">
        <v>460</v>
      </c>
      <c r="C230" s="242">
        <v>20.84</v>
      </c>
      <c r="D230" s="352">
        <v>24.32</v>
      </c>
      <c r="E230" s="262"/>
      <c r="F230" s="360">
        <f>D230</f>
        <v>24.32</v>
      </c>
      <c r="G230" s="361"/>
      <c r="H230" s="361">
        <f>C230</f>
        <v>20.84</v>
      </c>
      <c r="I230" s="361">
        <f>(0.5+2.3+2.3)*3.5</f>
        <v>17.849999999999998</v>
      </c>
      <c r="J230" s="362">
        <f>(C230*3.5)-I230</f>
        <v>55.09</v>
      </c>
      <c r="K230" s="362">
        <f>2.5*3.5*2</f>
        <v>17.5</v>
      </c>
      <c r="M230" s="363"/>
      <c r="N230" s="364"/>
      <c r="O230" s="364"/>
      <c r="P230" s="364"/>
      <c r="Q230" s="364"/>
      <c r="R230" s="364"/>
      <c r="S230" s="364"/>
      <c r="T230" s="364"/>
      <c r="U230" s="364"/>
      <c r="V230" s="364"/>
      <c r="W230" s="364"/>
      <c r="X230" s="364"/>
      <c r="Y230" s="365"/>
      <c r="Z230" s="364"/>
    </row>
    <row r="231" spans="1:26" s="254" customFormat="1" ht="18" x14ac:dyDescent="0.15">
      <c r="A231" s="359"/>
      <c r="B231" s="257" t="s">
        <v>979</v>
      </c>
      <c r="C231" s="242">
        <v>4.74</v>
      </c>
      <c r="D231" s="352">
        <v>1.35</v>
      </c>
      <c r="E231" s="262"/>
      <c r="F231" s="360">
        <f t="shared" si="32"/>
        <v>1.35</v>
      </c>
      <c r="G231" s="361">
        <f>D231</f>
        <v>1.35</v>
      </c>
      <c r="H231" s="361"/>
      <c r="I231" s="361">
        <f>C231*2.6</f>
        <v>12.324000000000002</v>
      </c>
      <c r="J231" s="362"/>
      <c r="K231" s="362"/>
      <c r="M231" s="363">
        <v>1</v>
      </c>
      <c r="N231" s="364">
        <v>1</v>
      </c>
      <c r="O231" s="364"/>
      <c r="P231" s="364">
        <v>1</v>
      </c>
      <c r="Q231" s="364"/>
      <c r="R231" s="364"/>
      <c r="S231" s="364"/>
      <c r="T231" s="364">
        <v>1</v>
      </c>
      <c r="U231" s="364"/>
      <c r="V231" s="364">
        <v>1</v>
      </c>
      <c r="W231" s="364">
        <v>1</v>
      </c>
      <c r="X231" s="364"/>
      <c r="Y231" s="365"/>
      <c r="Z231" s="364"/>
    </row>
    <row r="232" spans="1:26" s="254" customFormat="1" ht="18" x14ac:dyDescent="0.15">
      <c r="A232" s="359"/>
      <c r="B232" s="257" t="s">
        <v>980</v>
      </c>
      <c r="C232" s="242">
        <v>4.74</v>
      </c>
      <c r="D232" s="352">
        <v>1.35</v>
      </c>
      <c r="E232" s="262"/>
      <c r="F232" s="360">
        <f t="shared" si="32"/>
        <v>1.35</v>
      </c>
      <c r="G232" s="361">
        <f>D232</f>
        <v>1.35</v>
      </c>
      <c r="H232" s="361"/>
      <c r="I232" s="361">
        <f>C232*2.6</f>
        <v>12.324000000000002</v>
      </c>
      <c r="J232" s="362"/>
      <c r="K232" s="362"/>
      <c r="M232" s="363">
        <v>1</v>
      </c>
      <c r="N232" s="364">
        <v>1</v>
      </c>
      <c r="O232" s="364"/>
      <c r="P232" s="364">
        <v>1</v>
      </c>
      <c r="Q232" s="364"/>
      <c r="R232" s="364"/>
      <c r="S232" s="364"/>
      <c r="T232" s="364">
        <v>1</v>
      </c>
      <c r="U232" s="364"/>
      <c r="V232" s="364">
        <v>1</v>
      </c>
      <c r="W232" s="364">
        <v>1</v>
      </c>
      <c r="X232" s="364"/>
      <c r="Y232" s="365"/>
      <c r="Z232" s="364"/>
    </row>
    <row r="233" spans="1:26" s="254" customFormat="1" ht="18" x14ac:dyDescent="0.15">
      <c r="A233" s="359"/>
      <c r="B233" s="356" t="s">
        <v>461</v>
      </c>
      <c r="C233" s="357">
        <v>11.5</v>
      </c>
      <c r="D233" s="358">
        <v>5.37</v>
      </c>
      <c r="E233" s="262"/>
      <c r="F233" s="360">
        <f t="shared" si="32"/>
        <v>5.37</v>
      </c>
      <c r="G233" s="367">
        <f>D233</f>
        <v>5.37</v>
      </c>
      <c r="H233" s="367">
        <f>C233</f>
        <v>11.5</v>
      </c>
      <c r="I233" s="367">
        <f>(0.76+1.21+0.55)*2.6</f>
        <v>6.5520000000000005</v>
      </c>
      <c r="J233" s="368">
        <f>C233*2.6</f>
        <v>29.900000000000002</v>
      </c>
      <c r="K233" s="368">
        <f>J233</f>
        <v>29.900000000000002</v>
      </c>
      <c r="M233" s="369">
        <v>2</v>
      </c>
      <c r="N233" s="370">
        <v>0</v>
      </c>
      <c r="O233" s="370">
        <v>2</v>
      </c>
      <c r="P233" s="370">
        <v>0</v>
      </c>
      <c r="Q233" s="370">
        <v>2</v>
      </c>
      <c r="R233" s="370">
        <v>0</v>
      </c>
      <c r="S233" s="370">
        <v>2</v>
      </c>
      <c r="T233" s="370">
        <v>1</v>
      </c>
      <c r="U233" s="370">
        <v>2</v>
      </c>
      <c r="V233" s="370">
        <v>2</v>
      </c>
      <c r="W233" s="370"/>
      <c r="X233" s="370">
        <v>1</v>
      </c>
      <c r="Y233" s="371">
        <v>1</v>
      </c>
      <c r="Z233" s="370">
        <v>1</v>
      </c>
    </row>
    <row r="234" spans="1:26" s="254" customFormat="1" ht="18.75" thickBot="1" x14ac:dyDescent="0.2">
      <c r="A234" s="372"/>
      <c r="B234" s="353" t="s">
        <v>462</v>
      </c>
      <c r="C234" s="354">
        <v>17.75</v>
      </c>
      <c r="D234" s="355">
        <v>13.5</v>
      </c>
      <c r="E234" s="262"/>
      <c r="F234" s="360">
        <f t="shared" si="32"/>
        <v>13.5</v>
      </c>
      <c r="G234" s="367">
        <f>D234</f>
        <v>13.5</v>
      </c>
      <c r="H234" s="367">
        <f>C234</f>
        <v>17.75</v>
      </c>
      <c r="I234" s="367">
        <f>(0.76+2.7+1.4+1.1)*2.6</f>
        <v>15.495999999999999</v>
      </c>
      <c r="J234" s="368">
        <f>(C234*2.6)-I234</f>
        <v>30.654</v>
      </c>
      <c r="K234" s="368">
        <f>J234</f>
        <v>30.654</v>
      </c>
      <c r="M234" s="369">
        <v>3</v>
      </c>
      <c r="N234" s="370"/>
      <c r="O234" s="370">
        <v>3</v>
      </c>
      <c r="P234" s="370">
        <v>0</v>
      </c>
      <c r="Q234" s="370">
        <v>2</v>
      </c>
      <c r="R234" s="370">
        <v>0</v>
      </c>
      <c r="S234" s="370">
        <v>2</v>
      </c>
      <c r="T234" s="370">
        <v>1</v>
      </c>
      <c r="U234" s="370">
        <v>2</v>
      </c>
      <c r="V234" s="370">
        <v>3</v>
      </c>
      <c r="W234" s="370"/>
      <c r="X234" s="370">
        <v>1</v>
      </c>
      <c r="Y234" s="371">
        <v>1</v>
      </c>
      <c r="Z234" s="370">
        <v>1</v>
      </c>
    </row>
    <row r="235" spans="1:26" s="254" customFormat="1" ht="9" x14ac:dyDescent="0.15">
      <c r="A235" s="359"/>
      <c r="B235" s="257" t="s">
        <v>982</v>
      </c>
      <c r="C235" s="242">
        <v>14.5</v>
      </c>
      <c r="D235" s="352">
        <v>11.51</v>
      </c>
      <c r="E235" s="262"/>
      <c r="F235" s="360"/>
      <c r="G235" s="361"/>
      <c r="H235" s="361"/>
      <c r="I235" s="361">
        <f>(0.76+2.7+1.4+1.1)*2.6</f>
        <v>15.495999999999999</v>
      </c>
      <c r="J235" s="362">
        <f>(C235*2.6)-I235</f>
        <v>22.204000000000004</v>
      </c>
      <c r="K235" s="362">
        <f>J235</f>
        <v>22.204000000000004</v>
      </c>
      <c r="M235" s="363"/>
      <c r="N235" s="364"/>
      <c r="O235" s="364"/>
      <c r="P235" s="364"/>
      <c r="Q235" s="364"/>
      <c r="R235" s="364"/>
      <c r="S235" s="364"/>
      <c r="T235" s="364"/>
      <c r="U235" s="364"/>
      <c r="V235" s="364"/>
      <c r="W235" s="364"/>
      <c r="X235" s="364"/>
      <c r="Y235" s="365"/>
      <c r="Z235" s="364"/>
    </row>
    <row r="236" spans="1:26" s="254" customFormat="1" ht="9.75" thickBot="1" x14ac:dyDescent="0.2">
      <c r="A236" s="372"/>
      <c r="B236" s="353" t="s">
        <v>981</v>
      </c>
      <c r="C236" s="354">
        <f>17+5+12</f>
        <v>34</v>
      </c>
      <c r="D236" s="355"/>
      <c r="E236" s="262"/>
      <c r="F236" s="360"/>
      <c r="G236" s="367"/>
      <c r="H236" s="367">
        <f>C236</f>
        <v>34</v>
      </c>
      <c r="I236" s="367"/>
      <c r="J236" s="368">
        <f>(C236*4.1)</f>
        <v>139.39999999999998</v>
      </c>
      <c r="K236" s="368">
        <f>J236</f>
        <v>139.39999999999998</v>
      </c>
      <c r="M236" s="369"/>
      <c r="N236" s="370"/>
      <c r="O236" s="370"/>
      <c r="P236" s="370"/>
      <c r="Q236" s="370"/>
      <c r="R236" s="370"/>
      <c r="S236" s="370"/>
      <c r="T236" s="370"/>
      <c r="U236" s="370"/>
      <c r="V236" s="370"/>
      <c r="W236" s="370"/>
      <c r="X236" s="370"/>
      <c r="Y236" s="371"/>
      <c r="Z236" s="370"/>
    </row>
    <row r="237" spans="1:26" s="254" customFormat="1" ht="9.75" thickBot="1" x14ac:dyDescent="0.2">
      <c r="A237" s="375"/>
      <c r="B237" s="587"/>
      <c r="C237" s="588"/>
      <c r="D237" s="588"/>
      <c r="E237" s="262"/>
      <c r="F237" s="366"/>
      <c r="G237" s="326"/>
      <c r="H237" s="326"/>
      <c r="I237" s="326"/>
      <c r="J237" s="589"/>
      <c r="K237" s="589"/>
      <c r="M237" s="375"/>
      <c r="N237" s="375"/>
      <c r="O237" s="375"/>
      <c r="P237" s="375"/>
      <c r="Q237" s="375"/>
      <c r="R237" s="375"/>
      <c r="S237" s="375"/>
      <c r="T237" s="375"/>
      <c r="U237" s="375"/>
      <c r="V237" s="375"/>
      <c r="W237" s="375"/>
      <c r="X237" s="375"/>
      <c r="Y237" s="590"/>
      <c r="Z237" s="375"/>
    </row>
    <row r="238" spans="1:26" s="254" customFormat="1" ht="9.75" thickBot="1" x14ac:dyDescent="0.2">
      <c r="E238" s="250"/>
      <c r="F238" s="395">
        <f t="shared" ref="F238:I238" si="33">SUM(F229:F236)</f>
        <v>83.04</v>
      </c>
      <c r="G238" s="395">
        <f t="shared" si="33"/>
        <v>21.57</v>
      </c>
      <c r="H238" s="395">
        <f t="shared" si="33"/>
        <v>113.28999999999999</v>
      </c>
      <c r="I238" s="395">
        <f t="shared" si="33"/>
        <v>80.042000000000002</v>
      </c>
      <c r="J238" s="395">
        <f>SUM(J229:J236)</f>
        <v>379.44799999999998</v>
      </c>
      <c r="K238" s="395">
        <f>SUM(K229:K236)</f>
        <v>239.65799999999999</v>
      </c>
      <c r="M238" s="396">
        <f>SUM(M229:M236)</f>
        <v>8</v>
      </c>
      <c r="N238" s="396">
        <f t="shared" ref="N238:Z238" si="34">SUM(N229:N236)</f>
        <v>2</v>
      </c>
      <c r="O238" s="396">
        <f t="shared" si="34"/>
        <v>6</v>
      </c>
      <c r="P238" s="396">
        <f t="shared" si="34"/>
        <v>2</v>
      </c>
      <c r="Q238" s="396">
        <f t="shared" si="34"/>
        <v>4</v>
      </c>
      <c r="R238" s="396">
        <f t="shared" si="34"/>
        <v>1</v>
      </c>
      <c r="S238" s="396">
        <f t="shared" si="34"/>
        <v>4</v>
      </c>
      <c r="T238" s="396">
        <f t="shared" si="34"/>
        <v>4</v>
      </c>
      <c r="U238" s="396">
        <f t="shared" si="34"/>
        <v>4</v>
      </c>
      <c r="V238" s="396">
        <f t="shared" si="34"/>
        <v>7</v>
      </c>
      <c r="W238" s="396">
        <f t="shared" si="34"/>
        <v>2</v>
      </c>
      <c r="X238" s="396">
        <f t="shared" si="34"/>
        <v>2</v>
      </c>
      <c r="Y238" s="396">
        <f t="shared" si="34"/>
        <v>2</v>
      </c>
      <c r="Z238" s="396">
        <f t="shared" si="34"/>
        <v>3</v>
      </c>
    </row>
    <row r="239" spans="1:26" s="254" customFormat="1" ht="9" x14ac:dyDescent="0.15">
      <c r="E239" s="250"/>
      <c r="F239" s="318"/>
      <c r="G239" s="318"/>
      <c r="H239" s="318"/>
    </row>
    <row r="240" spans="1:26" s="254" customFormat="1" ht="12.75" customHeight="1" x14ac:dyDescent="0.15">
      <c r="A240" s="784" t="s">
        <v>264</v>
      </c>
      <c r="B240" s="785"/>
      <c r="C240" s="785"/>
      <c r="D240" s="786"/>
      <c r="E240" s="262"/>
      <c r="F240" s="318"/>
      <c r="G240" s="318"/>
      <c r="H240" s="318"/>
    </row>
    <row r="241" spans="1:15" s="254" customFormat="1" ht="9" x14ac:dyDescent="0.15">
      <c r="A241" s="397"/>
      <c r="B241" s="263"/>
      <c r="C241" s="264" t="s">
        <v>120</v>
      </c>
      <c r="D241" s="265" t="s">
        <v>118</v>
      </c>
      <c r="E241" s="262"/>
      <c r="F241" s="326"/>
      <c r="G241" s="326"/>
      <c r="H241" s="326"/>
      <c r="K241" s="398"/>
      <c r="L241" s="398"/>
      <c r="M241" s="398"/>
    </row>
    <row r="242" spans="1:15" s="254" customFormat="1" ht="9" x14ac:dyDescent="0.15">
      <c r="A242" s="781" t="s">
        <v>286</v>
      </c>
      <c r="B242" s="807" t="s">
        <v>969</v>
      </c>
      <c r="C242" s="364">
        <f>10+10+1.1+0.7+3+1.15</f>
        <v>25.95</v>
      </c>
      <c r="D242" s="409">
        <v>4.0999999999999996</v>
      </c>
      <c r="E242" s="262"/>
      <c r="F242" s="402">
        <f>C242*D242</f>
        <v>106.39499999999998</v>
      </c>
      <c r="G242" s="375"/>
      <c r="H242" s="375"/>
      <c r="K242" s="398"/>
      <c r="L242" s="398"/>
      <c r="M242" s="398"/>
    </row>
    <row r="243" spans="1:15" s="254" customFormat="1" ht="9" x14ac:dyDescent="0.15">
      <c r="A243" s="782"/>
      <c r="B243" s="808"/>
      <c r="C243" s="364"/>
      <c r="D243" s="409">
        <v>4.0999999999999996</v>
      </c>
      <c r="E243" s="262"/>
      <c r="F243" s="410">
        <f>C243*D243</f>
        <v>0</v>
      </c>
      <c r="G243" s="375"/>
      <c r="H243" s="375"/>
      <c r="K243" s="398"/>
      <c r="L243" s="398"/>
      <c r="M243" s="398"/>
    </row>
    <row r="244" spans="1:15" s="254" customFormat="1" ht="9" x14ac:dyDescent="0.15">
      <c r="A244" s="783"/>
      <c r="B244" s="809"/>
      <c r="C244" s="411"/>
      <c r="D244" s="412"/>
      <c r="E244" s="262"/>
      <c r="F244" s="413"/>
      <c r="G244" s="375"/>
      <c r="H244" s="375"/>
      <c r="K244" s="398"/>
      <c r="L244" s="404"/>
      <c r="M244" s="398"/>
    </row>
    <row r="245" spans="1:15" s="254" customFormat="1" ht="9" x14ac:dyDescent="0.15">
      <c r="E245" s="250"/>
      <c r="F245" s="403">
        <f>SUM(F242:F244)</f>
        <v>106.39499999999998</v>
      </c>
      <c r="G245" s="375"/>
      <c r="K245" s="398"/>
      <c r="L245" s="398"/>
      <c r="M245" s="398"/>
    </row>
    <row r="246" spans="1:15" s="254" customFormat="1" ht="9" x14ac:dyDescent="0.15">
      <c r="E246" s="250"/>
      <c r="G246" s="375"/>
      <c r="K246" s="398"/>
      <c r="L246" s="398"/>
      <c r="M246" s="398"/>
    </row>
    <row r="247" spans="1:15" s="254" customFormat="1" ht="22.5" customHeight="1" x14ac:dyDescent="0.15">
      <c r="A247" s="788" t="s">
        <v>267</v>
      </c>
      <c r="B247" s="807" t="s">
        <v>970</v>
      </c>
      <c r="C247" s="407">
        <f>8+7</f>
        <v>15</v>
      </c>
      <c r="D247" s="414">
        <v>4.0999999999999996</v>
      </c>
      <c r="E247" s="262"/>
      <c r="F247" s="402">
        <f>C247*D247</f>
        <v>61.499999999999993</v>
      </c>
      <c r="G247" s="375"/>
      <c r="H247" s="375"/>
      <c r="K247" s="398"/>
      <c r="L247" s="398"/>
      <c r="M247" s="398"/>
    </row>
    <row r="248" spans="1:15" s="254" customFormat="1" ht="22.5" customHeight="1" x14ac:dyDescent="0.15">
      <c r="A248" s="806"/>
      <c r="B248" s="808"/>
      <c r="C248" s="364"/>
      <c r="D248" s="409"/>
      <c r="E248" s="262"/>
      <c r="F248" s="402">
        <f t="shared" ref="F248:F249" si="35">C248*D248</f>
        <v>0</v>
      </c>
      <c r="G248" s="375"/>
      <c r="H248" s="375"/>
      <c r="K248" s="398"/>
      <c r="L248" s="398"/>
      <c r="M248" s="398"/>
    </row>
    <row r="249" spans="1:15" s="254" customFormat="1" ht="22.5" customHeight="1" x14ac:dyDescent="0.15">
      <c r="A249" s="789"/>
      <c r="B249" s="809"/>
      <c r="C249" s="411">
        <v>2.5</v>
      </c>
      <c r="D249" s="412">
        <v>3.5</v>
      </c>
      <c r="E249" s="262"/>
      <c r="F249" s="402">
        <f t="shared" si="35"/>
        <v>8.75</v>
      </c>
      <c r="G249" s="375"/>
      <c r="H249" s="375"/>
      <c r="K249" s="398"/>
      <c r="L249" s="398"/>
      <c r="M249" s="398"/>
    </row>
    <row r="250" spans="1:15" s="254" customFormat="1" ht="9" x14ac:dyDescent="0.15">
      <c r="E250" s="250"/>
      <c r="F250" s="403">
        <f>SUM(F247:F249)</f>
        <v>70.25</v>
      </c>
      <c r="G250" s="375"/>
      <c r="K250" s="398"/>
      <c r="L250" s="404"/>
      <c r="M250" s="398"/>
    </row>
    <row r="251" spans="1:15" s="254" customFormat="1" ht="9" x14ac:dyDescent="0.15">
      <c r="E251" s="250"/>
      <c r="F251" s="375"/>
      <c r="G251" s="375"/>
      <c r="L251" s="375"/>
    </row>
    <row r="252" spans="1:15" s="254" customFormat="1" ht="9" x14ac:dyDescent="0.15">
      <c r="A252" s="784" t="s">
        <v>104</v>
      </c>
      <c r="B252" s="785"/>
      <c r="C252" s="785"/>
      <c r="D252" s="786"/>
      <c r="E252" s="250"/>
      <c r="F252" s="318"/>
      <c r="G252" s="318"/>
      <c r="H252" s="318"/>
    </row>
    <row r="253" spans="1:15" s="254" customFormat="1" ht="18.75" customHeight="1" x14ac:dyDescent="0.15">
      <c r="A253" s="263"/>
      <c r="B253" s="264" t="s">
        <v>117</v>
      </c>
      <c r="C253" s="264" t="s">
        <v>118</v>
      </c>
      <c r="D253" s="265" t="s">
        <v>75</v>
      </c>
      <c r="E253" s="250"/>
      <c r="F253" s="591" t="s">
        <v>269</v>
      </c>
      <c r="G253" s="592" t="s">
        <v>119</v>
      </c>
      <c r="H253" s="592" t="s">
        <v>6</v>
      </c>
      <c r="I253" s="592" t="s">
        <v>7</v>
      </c>
      <c r="J253" s="375"/>
      <c r="K253" s="375"/>
      <c r="L253" s="375"/>
      <c r="M253" s="375"/>
      <c r="N253" s="375"/>
      <c r="O253" s="375"/>
    </row>
    <row r="254" spans="1:15" s="254" customFormat="1" ht="9" x14ac:dyDescent="0.15">
      <c r="A254" s="376" t="s">
        <v>971</v>
      </c>
      <c r="B254" s="376">
        <v>0.6</v>
      </c>
      <c r="C254" s="376">
        <v>2.1</v>
      </c>
      <c r="D254" s="376">
        <v>2</v>
      </c>
      <c r="E254" s="250"/>
      <c r="F254" s="327">
        <f>B254*D254</f>
        <v>1.2</v>
      </c>
      <c r="G254" s="407">
        <f>D254*(3*B254*C254)</f>
        <v>7.56</v>
      </c>
      <c r="H254" s="407"/>
      <c r="I254" s="329"/>
      <c r="J254" s="375"/>
      <c r="K254" s="375"/>
      <c r="L254" s="375"/>
      <c r="M254" s="375"/>
      <c r="N254" s="375"/>
      <c r="O254" s="375"/>
    </row>
    <row r="255" spans="1:15" s="254" customFormat="1" ht="9" x14ac:dyDescent="0.15">
      <c r="A255" s="245" t="s">
        <v>469</v>
      </c>
      <c r="B255" s="245">
        <v>0.8</v>
      </c>
      <c r="C255" s="245">
        <v>2.1</v>
      </c>
      <c r="D255" s="245">
        <v>3</v>
      </c>
      <c r="E255" s="250"/>
      <c r="F255" s="330">
        <f>B255*D255</f>
        <v>2.4000000000000004</v>
      </c>
      <c r="G255" s="364">
        <f t="shared" ref="G255" si="36">D255*(3*B255*C255)</f>
        <v>15.120000000000003</v>
      </c>
      <c r="H255" s="364">
        <f>(0.8+0.8)*0.15*0.15</f>
        <v>3.5999999999999997E-2</v>
      </c>
      <c r="I255" s="332">
        <f>(0.8+0.4+0.4)*(0.15+0.15)</f>
        <v>0.48</v>
      </c>
      <c r="J255" s="375"/>
      <c r="K255" s="375"/>
      <c r="L255" s="375"/>
      <c r="M255" s="375"/>
      <c r="N255" s="375"/>
      <c r="O255" s="375"/>
    </row>
    <row r="256" spans="1:15" s="254" customFormat="1" ht="18" x14ac:dyDescent="0.15">
      <c r="A256" s="586" t="s">
        <v>972</v>
      </c>
      <c r="B256" s="246"/>
      <c r="C256" s="246"/>
      <c r="D256" s="246">
        <v>1</v>
      </c>
      <c r="E256" s="250"/>
      <c r="F256" s="330"/>
      <c r="G256" s="364"/>
      <c r="H256" s="364"/>
      <c r="I256" s="332"/>
      <c r="J256" s="375"/>
      <c r="K256" s="375"/>
      <c r="L256" s="375"/>
      <c r="M256" s="375"/>
      <c r="N256" s="375"/>
      <c r="O256" s="375"/>
    </row>
    <row r="257" spans="1:15" s="254" customFormat="1" ht="9" x14ac:dyDescent="0.15">
      <c r="A257" s="246" t="s">
        <v>470</v>
      </c>
      <c r="B257" s="246">
        <v>0.9</v>
      </c>
      <c r="C257" s="246">
        <v>2.1</v>
      </c>
      <c r="D257" s="246">
        <v>1</v>
      </c>
      <c r="E257" s="250"/>
      <c r="F257" s="333"/>
      <c r="G257" s="411">
        <f>0.8*2.1*3*D257</f>
        <v>5.0400000000000009</v>
      </c>
      <c r="H257" s="411"/>
      <c r="I257" s="335"/>
      <c r="J257" s="375"/>
      <c r="K257" s="375"/>
      <c r="L257" s="375"/>
      <c r="M257" s="375"/>
      <c r="N257" s="375"/>
      <c r="O257" s="375"/>
    </row>
    <row r="258" spans="1:15" s="254" customFormat="1" ht="9" x14ac:dyDescent="0.15">
      <c r="E258" s="250"/>
      <c r="F258" s="593">
        <f>SUM(F254:F257)</f>
        <v>3.6000000000000005</v>
      </c>
      <c r="G258" s="593">
        <f>SUM(G254:G257)</f>
        <v>27.720000000000006</v>
      </c>
      <c r="H258" s="593">
        <f>SUM(H254:H257)</f>
        <v>3.5999999999999997E-2</v>
      </c>
      <c r="I258" s="593">
        <f>SUM(I254:I257)</f>
        <v>0.48</v>
      </c>
      <c r="J258" s="375"/>
      <c r="K258" s="375"/>
      <c r="L258" s="375"/>
      <c r="M258" s="375"/>
      <c r="N258" s="375"/>
      <c r="O258" s="375"/>
    </row>
    <row r="259" spans="1:15" s="254" customFormat="1" ht="9" x14ac:dyDescent="0.15">
      <c r="E259" s="250"/>
      <c r="F259" s="318"/>
      <c r="G259" s="318"/>
      <c r="H259" s="318"/>
    </row>
    <row r="260" spans="1:15" s="254" customFormat="1" ht="9" x14ac:dyDescent="0.15">
      <c r="A260" s="784" t="s">
        <v>471</v>
      </c>
      <c r="B260" s="785"/>
      <c r="C260" s="785"/>
      <c r="D260" s="786"/>
      <c r="E260" s="250"/>
      <c r="F260" s="318"/>
      <c r="G260" s="318"/>
      <c r="H260" s="318"/>
    </row>
    <row r="261" spans="1:15" s="254" customFormat="1" ht="18.75" customHeight="1" x14ac:dyDescent="0.15">
      <c r="A261" s="378"/>
      <c r="B261" s="379" t="s">
        <v>117</v>
      </c>
      <c r="C261" s="264" t="s">
        <v>118</v>
      </c>
      <c r="D261" s="265" t="s">
        <v>75</v>
      </c>
      <c r="E261" s="250"/>
      <c r="F261" s="377" t="s">
        <v>472</v>
      </c>
      <c r="G261" s="375"/>
      <c r="H261" s="375"/>
      <c r="I261" s="375"/>
      <c r="J261" s="375"/>
      <c r="K261" s="375"/>
    </row>
    <row r="262" spans="1:15" s="254" customFormat="1" ht="9" x14ac:dyDescent="0.15">
      <c r="A262" s="244" t="s">
        <v>974</v>
      </c>
      <c r="B262" s="244">
        <v>0.6</v>
      </c>
      <c r="C262" s="244">
        <v>0.3</v>
      </c>
      <c r="D262" s="244">
        <v>3</v>
      </c>
      <c r="E262" s="250"/>
      <c r="F262" s="323">
        <f>B262*C262*D262</f>
        <v>0.54</v>
      </c>
      <c r="G262" s="375"/>
      <c r="H262" s="375"/>
      <c r="I262" s="375"/>
      <c r="J262" s="375"/>
      <c r="K262" s="375"/>
    </row>
    <row r="263" spans="1:15" s="254" customFormat="1" ht="9" x14ac:dyDescent="0.15">
      <c r="A263" s="244" t="s">
        <v>975</v>
      </c>
      <c r="B263" s="244">
        <v>2.4</v>
      </c>
      <c r="C263" s="244">
        <v>0.3</v>
      </c>
      <c r="D263" s="244">
        <v>1</v>
      </c>
      <c r="E263" s="250"/>
      <c r="F263" s="323">
        <f>B263*C263*D263</f>
        <v>0.72</v>
      </c>
      <c r="G263" s="375"/>
      <c r="H263" s="375"/>
      <c r="I263" s="375"/>
      <c r="J263" s="375"/>
      <c r="K263" s="375"/>
    </row>
    <row r="264" spans="1:15" s="254" customFormat="1" ht="9" x14ac:dyDescent="0.15">
      <c r="A264" s="246" t="s">
        <v>474</v>
      </c>
      <c r="B264" s="246">
        <v>0.5</v>
      </c>
      <c r="C264" s="246">
        <v>1.1000000000000001</v>
      </c>
      <c r="D264" s="246">
        <v>12</v>
      </c>
      <c r="E264" s="250"/>
      <c r="F264" s="325">
        <f>B264*C264*D264</f>
        <v>6.6000000000000005</v>
      </c>
      <c r="G264" s="375"/>
      <c r="H264" s="375"/>
      <c r="I264" s="375"/>
      <c r="J264" s="375"/>
      <c r="K264" s="375"/>
    </row>
    <row r="265" spans="1:15" s="254" customFormat="1" ht="9" x14ac:dyDescent="0.15">
      <c r="A265" s="246" t="s">
        <v>976</v>
      </c>
      <c r="B265" s="246">
        <v>1.1000000000000001</v>
      </c>
      <c r="C265" s="246">
        <v>1</v>
      </c>
      <c r="D265" s="246">
        <v>1</v>
      </c>
      <c r="E265" s="250"/>
      <c r="F265" s="325">
        <f>B265*C265*D265</f>
        <v>1.1000000000000001</v>
      </c>
      <c r="G265" s="375"/>
      <c r="H265" s="375"/>
      <c r="I265" s="375"/>
      <c r="J265" s="375"/>
      <c r="K265" s="375"/>
    </row>
    <row r="266" spans="1:15" s="254" customFormat="1" ht="9" x14ac:dyDescent="0.15">
      <c r="E266" s="250"/>
      <c r="F266" s="403">
        <f>SUM(F262:F265)</f>
        <v>8.9600000000000009</v>
      </c>
      <c r="G266" s="375"/>
      <c r="H266" s="375"/>
      <c r="I266" s="375"/>
      <c r="J266" s="375"/>
      <c r="K266" s="375"/>
    </row>
    <row r="267" spans="1:15" s="254" customFormat="1" ht="9" x14ac:dyDescent="0.15">
      <c r="E267" s="250"/>
      <c r="F267" s="318"/>
      <c r="G267" s="318"/>
      <c r="H267" s="318"/>
    </row>
    <row r="268" spans="1:15" s="381" customFormat="1" ht="17.25" customHeight="1" x14ac:dyDescent="0.2">
      <c r="A268" s="792" t="s">
        <v>593</v>
      </c>
      <c r="B268" s="793"/>
      <c r="C268" s="793"/>
      <c r="D268" s="794"/>
    </row>
    <row r="269" spans="1:15" x14ac:dyDescent="0.2">
      <c r="E269" s="162"/>
      <c r="F269" s="162"/>
      <c r="G269" s="162"/>
      <c r="H269" s="162"/>
    </row>
    <row r="270" spans="1:15" s="254" customFormat="1" ht="12.75" customHeight="1" x14ac:dyDescent="0.15">
      <c r="A270" s="784" t="s">
        <v>169</v>
      </c>
      <c r="B270" s="785"/>
      <c r="C270" s="785"/>
      <c r="D270" s="786"/>
      <c r="E270" s="262"/>
      <c r="F270" s="326"/>
      <c r="G270" s="326"/>
      <c r="H270" s="326"/>
    </row>
    <row r="271" spans="1:15" s="254" customFormat="1" ht="9" x14ac:dyDescent="0.15"/>
    <row r="272" spans="1:15" s="254" customFormat="1" ht="9" x14ac:dyDescent="0.15">
      <c r="B272" s="472"/>
      <c r="C272" s="264"/>
      <c r="D272" s="265" t="s">
        <v>175</v>
      </c>
    </row>
    <row r="273" spans="1:12" s="254" customFormat="1" ht="9" x14ac:dyDescent="0.15">
      <c r="A273" s="405" t="s">
        <v>594</v>
      </c>
      <c r="B273" s="400">
        <v>2</v>
      </c>
      <c r="C273" s="400">
        <v>1</v>
      </c>
      <c r="D273" s="408">
        <f>B273*C273</f>
        <v>2</v>
      </c>
      <c r="E273" s="250"/>
    </row>
    <row r="274" spans="1:12" s="254" customFormat="1" ht="9" x14ac:dyDescent="0.15">
      <c r="E274" s="250"/>
      <c r="F274" s="318"/>
      <c r="G274" s="318"/>
      <c r="H274" s="318"/>
    </row>
    <row r="275" spans="1:12" s="254" customFormat="1" ht="9" x14ac:dyDescent="0.15">
      <c r="E275" s="250"/>
      <c r="F275" s="318"/>
      <c r="G275" s="318"/>
      <c r="H275" s="318"/>
    </row>
    <row r="276" spans="1:12" s="254" customFormat="1" ht="12.75" customHeight="1" thickBot="1" x14ac:dyDescent="0.2">
      <c r="A276" s="803" t="s">
        <v>595</v>
      </c>
      <c r="B276" s="804"/>
      <c r="C276" s="804"/>
      <c r="D276" s="805"/>
      <c r="E276" s="262"/>
      <c r="F276" s="326"/>
      <c r="G276" s="326"/>
      <c r="H276" s="326"/>
    </row>
    <row r="277" spans="1:12" s="250" customFormat="1" ht="18" x14ac:dyDescent="0.15">
      <c r="A277" s="425"/>
      <c r="B277" s="449" t="s">
        <v>120</v>
      </c>
      <c r="C277" s="377" t="s">
        <v>598</v>
      </c>
      <c r="D277" s="377"/>
      <c r="E277" s="386"/>
      <c r="F277" s="534" t="s">
        <v>602</v>
      </c>
      <c r="G277" s="388" t="s">
        <v>603</v>
      </c>
      <c r="H277" s="389" t="s">
        <v>604</v>
      </c>
      <c r="I277" s="389" t="s">
        <v>605</v>
      </c>
      <c r="J277" s="390" t="s">
        <v>466</v>
      </c>
      <c r="K277" s="390"/>
    </row>
    <row r="278" spans="1:12" s="254" customFormat="1" ht="9" x14ac:dyDescent="0.15">
      <c r="A278" s="466" t="s">
        <v>596</v>
      </c>
      <c r="B278" s="257">
        <v>4.5</v>
      </c>
      <c r="C278" s="242">
        <v>2</v>
      </c>
      <c r="D278" s="243">
        <f>B278*C278</f>
        <v>9</v>
      </c>
      <c r="E278" s="262"/>
      <c r="F278" s="360">
        <f>D278*2</f>
        <v>18</v>
      </c>
      <c r="G278" s="361"/>
      <c r="H278" s="361"/>
      <c r="I278" s="361"/>
      <c r="J278" s="362">
        <f>F278</f>
        <v>18</v>
      </c>
      <c r="K278" s="362"/>
    </row>
    <row r="279" spans="1:12" s="254" customFormat="1" ht="9" x14ac:dyDescent="0.15">
      <c r="A279" s="466" t="s">
        <v>599</v>
      </c>
      <c r="B279" s="257">
        <v>1.8</v>
      </c>
      <c r="C279" s="242">
        <v>0.5</v>
      </c>
      <c r="D279" s="243">
        <f>B279*C279</f>
        <v>0.9</v>
      </c>
      <c r="E279" s="262"/>
      <c r="F279" s="360">
        <f>D279*2</f>
        <v>1.8</v>
      </c>
      <c r="G279" s="361"/>
      <c r="H279" s="361"/>
      <c r="I279" s="361"/>
      <c r="J279" s="362">
        <f>F279</f>
        <v>1.8</v>
      </c>
      <c r="K279" s="362"/>
    </row>
    <row r="280" spans="1:12" s="254" customFormat="1" ht="9" x14ac:dyDescent="0.15">
      <c r="A280" s="466" t="s">
        <v>600</v>
      </c>
      <c r="B280" s="257">
        <v>4</v>
      </c>
      <c r="C280" s="242">
        <f>0.15*0.15</f>
        <v>2.2499999999999999E-2</v>
      </c>
      <c r="D280" s="243">
        <v>2</v>
      </c>
      <c r="E280" s="262"/>
      <c r="F280" s="360"/>
      <c r="G280" s="361">
        <f>B280*C280*D280</f>
        <v>0.18</v>
      </c>
      <c r="H280" s="361">
        <f>B280*D280*(0.15*4)</f>
        <v>4.8</v>
      </c>
      <c r="I280" s="361">
        <f>G280*80</f>
        <v>14.399999999999999</v>
      </c>
      <c r="J280" s="362"/>
      <c r="K280" s="362"/>
    </row>
    <row r="281" spans="1:12" s="254" customFormat="1" ht="16.5" customHeight="1" x14ac:dyDescent="0.15">
      <c r="A281" s="535" t="s">
        <v>601</v>
      </c>
      <c r="B281" s="257">
        <v>7.3</v>
      </c>
      <c r="C281" s="242">
        <f>0.15*0.1</f>
        <v>1.4999999999999999E-2</v>
      </c>
      <c r="D281" s="243">
        <f>B281*C281</f>
        <v>0.1095</v>
      </c>
      <c r="E281" s="262"/>
      <c r="F281" s="360"/>
      <c r="G281" s="361">
        <f>D281</f>
        <v>0.1095</v>
      </c>
      <c r="H281" s="361">
        <f>B281*(0.15+0.15)</f>
        <v>2.19</v>
      </c>
      <c r="I281" s="361">
        <f t="shared" ref="I281:I283" si="37">G281*80</f>
        <v>8.76</v>
      </c>
      <c r="J281" s="362"/>
      <c r="K281" s="362"/>
    </row>
    <row r="282" spans="1:12" s="254" customFormat="1" ht="16.5" customHeight="1" x14ac:dyDescent="0.15">
      <c r="A282" s="535" t="s">
        <v>606</v>
      </c>
      <c r="B282" s="257">
        <v>6</v>
      </c>
      <c r="C282" s="242">
        <f>0.1*0.1</f>
        <v>1.0000000000000002E-2</v>
      </c>
      <c r="D282" s="243">
        <f>B282*C282</f>
        <v>6.0000000000000012E-2</v>
      </c>
      <c r="E282" s="262"/>
      <c r="F282" s="360"/>
      <c r="G282" s="361">
        <f>D282</f>
        <v>6.0000000000000012E-2</v>
      </c>
      <c r="H282" s="361">
        <f>B282*(0.15+0.15)</f>
        <v>1.7999999999999998</v>
      </c>
      <c r="I282" s="361">
        <f t="shared" ref="I282" si="38">G282*80</f>
        <v>4.8000000000000007</v>
      </c>
      <c r="J282" s="362"/>
      <c r="K282" s="362"/>
    </row>
    <row r="283" spans="1:12" s="254" customFormat="1" ht="12" customHeight="1" thickBot="1" x14ac:dyDescent="0.2">
      <c r="A283" s="536" t="s">
        <v>597</v>
      </c>
      <c r="B283" s="373">
        <v>2</v>
      </c>
      <c r="C283" s="537">
        <v>0.08</v>
      </c>
      <c r="D283" s="538"/>
      <c r="E283" s="262"/>
      <c r="F283" s="360"/>
      <c r="G283" s="361">
        <f>B283*C283</f>
        <v>0.16</v>
      </c>
      <c r="H283" s="361">
        <f>B283+(0.1*12)</f>
        <v>3.2</v>
      </c>
      <c r="I283" s="361">
        <f t="shared" si="37"/>
        <v>12.8</v>
      </c>
      <c r="J283" s="362"/>
      <c r="K283" s="362"/>
    </row>
    <row r="284" spans="1:12" s="254" customFormat="1" ht="9.75" thickBot="1" x14ac:dyDescent="0.2">
      <c r="E284" s="250"/>
      <c r="F284" s="395">
        <f t="shared" ref="F284:K284" si="39">SUM(F278:F283)</f>
        <v>19.8</v>
      </c>
      <c r="G284" s="395">
        <f t="shared" si="39"/>
        <v>0.50949999999999995</v>
      </c>
      <c r="H284" s="395">
        <f t="shared" si="39"/>
        <v>11.989999999999998</v>
      </c>
      <c r="I284" s="395">
        <f t="shared" si="39"/>
        <v>40.76</v>
      </c>
      <c r="J284" s="395">
        <f t="shared" si="39"/>
        <v>19.8</v>
      </c>
      <c r="K284" s="395">
        <f t="shared" si="39"/>
        <v>0</v>
      </c>
    </row>
    <row r="285" spans="1:12" s="254" customFormat="1" ht="9" x14ac:dyDescent="0.15">
      <c r="E285" s="250"/>
      <c r="F285" s="318"/>
      <c r="G285" s="318"/>
      <c r="H285" s="318"/>
    </row>
    <row r="286" spans="1:12" s="254" customFormat="1" ht="9" x14ac:dyDescent="0.15">
      <c r="E286" s="250"/>
      <c r="F286" s="375"/>
      <c r="G286" s="375"/>
      <c r="L286" s="375"/>
    </row>
    <row r="287" spans="1:12" s="254" customFormat="1" ht="9" x14ac:dyDescent="0.15">
      <c r="A287" s="784" t="s">
        <v>471</v>
      </c>
      <c r="B287" s="785"/>
      <c r="C287" s="785"/>
      <c r="D287" s="786"/>
      <c r="E287" s="250"/>
      <c r="F287" s="318"/>
      <c r="G287" s="318"/>
      <c r="H287" s="318"/>
    </row>
    <row r="288" spans="1:12" s="254" customFormat="1" ht="18.75" customHeight="1" x14ac:dyDescent="0.15">
      <c r="A288" s="378"/>
      <c r="B288" s="472" t="s">
        <v>117</v>
      </c>
      <c r="C288" s="264" t="s">
        <v>118</v>
      </c>
      <c r="D288" s="265" t="s">
        <v>75</v>
      </c>
      <c r="E288" s="250"/>
      <c r="F288" s="375"/>
      <c r="G288" s="375"/>
      <c r="H288" s="375"/>
      <c r="I288" s="375"/>
      <c r="J288" s="375"/>
    </row>
    <row r="289" spans="1:10" s="254" customFormat="1" ht="9" x14ac:dyDescent="0.15">
      <c r="A289" s="244" t="s">
        <v>607</v>
      </c>
      <c r="B289" s="244">
        <v>1.2</v>
      </c>
      <c r="C289" s="244">
        <v>1.8</v>
      </c>
      <c r="D289" s="244">
        <v>1</v>
      </c>
      <c r="E289" s="250"/>
      <c r="F289" s="375"/>
      <c r="G289" s="375"/>
      <c r="H289" s="375"/>
      <c r="I289" s="375"/>
      <c r="J289" s="375"/>
    </row>
    <row r="290" spans="1:10" s="254" customFormat="1" ht="9" x14ac:dyDescent="0.15">
      <c r="A290" s="246" t="s">
        <v>608</v>
      </c>
      <c r="B290" s="246">
        <v>0.85</v>
      </c>
      <c r="C290" s="246">
        <v>0.25</v>
      </c>
      <c r="D290" s="246">
        <v>4</v>
      </c>
      <c r="E290" s="250"/>
      <c r="F290" s="375"/>
      <c r="G290" s="375"/>
      <c r="H290" s="375"/>
      <c r="I290" s="375"/>
      <c r="J290" s="375"/>
    </row>
    <row r="291" spans="1:10" s="254" customFormat="1" ht="9" x14ac:dyDescent="0.15">
      <c r="E291" s="250"/>
      <c r="F291" s="375"/>
      <c r="G291" s="375"/>
      <c r="H291" s="375"/>
      <c r="I291" s="375"/>
      <c r="J291" s="375"/>
    </row>
    <row r="292" spans="1:10" s="254" customFormat="1" ht="9" x14ac:dyDescent="0.15">
      <c r="A292" s="784" t="s">
        <v>609</v>
      </c>
      <c r="B292" s="785"/>
      <c r="C292" s="785"/>
      <c r="D292" s="786"/>
      <c r="E292" s="250"/>
      <c r="F292" s="318"/>
      <c r="G292" s="318"/>
      <c r="H292" s="318"/>
    </row>
    <row r="293" spans="1:10" s="254" customFormat="1" ht="18.75" customHeight="1" x14ac:dyDescent="0.15">
      <c r="A293" s="378"/>
      <c r="B293" s="472"/>
      <c r="C293" s="264"/>
      <c r="D293" s="265" t="s">
        <v>75</v>
      </c>
      <c r="E293" s="250"/>
      <c r="F293" s="375"/>
      <c r="G293" s="375"/>
      <c r="H293" s="375"/>
      <c r="I293" s="375"/>
      <c r="J293" s="375"/>
    </row>
    <row r="294" spans="1:10" s="254" customFormat="1" ht="9" x14ac:dyDescent="0.15">
      <c r="A294" s="244" t="s">
        <v>610</v>
      </c>
      <c r="B294" s="244"/>
      <c r="C294" s="244"/>
      <c r="D294" s="244">
        <v>46</v>
      </c>
      <c r="E294" s="250"/>
      <c r="F294" s="375"/>
      <c r="G294" s="375"/>
      <c r="H294" s="375"/>
      <c r="I294" s="375"/>
      <c r="J294" s="375"/>
    </row>
    <row r="295" spans="1:10" s="254" customFormat="1" ht="9" x14ac:dyDescent="0.15">
      <c r="A295" s="246" t="s">
        <v>611</v>
      </c>
      <c r="B295" s="246"/>
      <c r="C295" s="246"/>
      <c r="D295" s="246">
        <v>1</v>
      </c>
      <c r="E295" s="250"/>
      <c r="F295" s="375"/>
      <c r="G295" s="375"/>
      <c r="H295" s="375"/>
      <c r="I295" s="375"/>
      <c r="J295" s="375"/>
    </row>
    <row r="296" spans="1:10" s="254" customFormat="1" ht="9" x14ac:dyDescent="0.15">
      <c r="A296" s="246" t="s">
        <v>612</v>
      </c>
      <c r="B296" s="246"/>
      <c r="C296" s="246"/>
      <c r="D296" s="246">
        <v>1</v>
      </c>
      <c r="E296" s="250"/>
      <c r="F296" s="375"/>
      <c r="G296" s="375"/>
      <c r="H296" s="375"/>
      <c r="I296" s="375"/>
      <c r="J296" s="375"/>
    </row>
    <row r="297" spans="1:10" s="254" customFormat="1" ht="9" x14ac:dyDescent="0.15">
      <c r="E297" s="250"/>
      <c r="F297" s="375"/>
      <c r="G297" s="375"/>
      <c r="H297" s="375"/>
      <c r="I297" s="375"/>
      <c r="J297" s="375"/>
    </row>
    <row r="298" spans="1:10" s="254" customFormat="1" ht="15" x14ac:dyDescent="0.25">
      <c r="A298" s="810" t="s">
        <v>1025</v>
      </c>
      <c r="B298" s="811"/>
      <c r="C298" s="811"/>
      <c r="D298" s="812"/>
      <c r="E298" s="250"/>
      <c r="F298" s="375"/>
      <c r="G298" s="375"/>
      <c r="H298" s="375"/>
      <c r="I298" s="375"/>
      <c r="J298" s="375"/>
    </row>
    <row r="299" spans="1:10" s="254" customFormat="1" ht="9" x14ac:dyDescent="0.15">
      <c r="A299" s="431" t="s">
        <v>1010</v>
      </c>
      <c r="B299" s="596" t="s">
        <v>1023</v>
      </c>
      <c r="C299" s="597" t="s">
        <v>1024</v>
      </c>
      <c r="D299" s="597" t="s">
        <v>118</v>
      </c>
      <c r="E299" s="250"/>
      <c r="F299" s="417" t="s">
        <v>414</v>
      </c>
      <c r="G299" s="417" t="s">
        <v>1022</v>
      </c>
      <c r="H299" s="318"/>
    </row>
    <row r="300" spans="1:10" s="254" customFormat="1" ht="9" x14ac:dyDescent="0.15">
      <c r="A300" s="434" t="s">
        <v>1011</v>
      </c>
      <c r="B300" s="419">
        <f>4.7+1.25</f>
        <v>5.95</v>
      </c>
      <c r="C300" s="414">
        <f>15.4-B300</f>
        <v>9.4499999999999993</v>
      </c>
      <c r="D300" s="414">
        <v>2.8</v>
      </c>
      <c r="E300" s="250"/>
      <c r="F300" s="323">
        <f>C300*D300</f>
        <v>26.459999999999997</v>
      </c>
      <c r="G300" s="323">
        <f>B300*D300</f>
        <v>16.66</v>
      </c>
      <c r="H300" s="318"/>
    </row>
    <row r="301" spans="1:10" s="254" customFormat="1" ht="9" x14ac:dyDescent="0.15">
      <c r="A301" s="320" t="s">
        <v>1012</v>
      </c>
      <c r="B301" s="420">
        <v>4.5999999999999996</v>
      </c>
      <c r="C301" s="409">
        <f>13.9-B301</f>
        <v>9.3000000000000007</v>
      </c>
      <c r="D301" s="409">
        <v>2.8</v>
      </c>
      <c r="E301" s="250"/>
      <c r="F301" s="323">
        <f t="shared" ref="F301:F310" si="40">C301*D301</f>
        <v>26.04</v>
      </c>
      <c r="G301" s="323">
        <f t="shared" ref="G301:G310" si="41">B301*D301</f>
        <v>12.879999999999999</v>
      </c>
      <c r="H301" s="318"/>
    </row>
    <row r="302" spans="1:10" s="254" customFormat="1" ht="9" x14ac:dyDescent="0.15">
      <c r="A302" s="320" t="s">
        <v>1013</v>
      </c>
      <c r="B302" s="420">
        <v>2.85</v>
      </c>
      <c r="C302" s="409">
        <f>12.6-B302</f>
        <v>9.75</v>
      </c>
      <c r="D302" s="409">
        <v>2.8</v>
      </c>
      <c r="E302" s="250"/>
      <c r="F302" s="323">
        <f t="shared" si="40"/>
        <v>27.299999999999997</v>
      </c>
      <c r="G302" s="323">
        <f t="shared" si="41"/>
        <v>7.9799999999999995</v>
      </c>
      <c r="H302" s="318"/>
    </row>
    <row r="303" spans="1:10" s="254" customFormat="1" ht="9" x14ac:dyDescent="0.15">
      <c r="A303" s="320" t="s">
        <v>1014</v>
      </c>
      <c r="B303" s="420">
        <v>2.85</v>
      </c>
      <c r="C303" s="409">
        <f t="shared" ref="C303:C309" si="42">12.6-B303</f>
        <v>9.75</v>
      </c>
      <c r="D303" s="409">
        <v>2.8</v>
      </c>
      <c r="E303" s="250"/>
      <c r="F303" s="323">
        <f t="shared" si="40"/>
        <v>27.299999999999997</v>
      </c>
      <c r="G303" s="323">
        <f t="shared" si="41"/>
        <v>7.9799999999999995</v>
      </c>
      <c r="H303" s="318"/>
    </row>
    <row r="304" spans="1:10" s="254" customFormat="1" ht="9" x14ac:dyDescent="0.15">
      <c r="A304" s="320" t="s">
        <v>1015</v>
      </c>
      <c r="B304" s="420">
        <v>2.85</v>
      </c>
      <c r="C304" s="409">
        <f t="shared" si="42"/>
        <v>9.75</v>
      </c>
      <c r="D304" s="409">
        <v>2.8</v>
      </c>
      <c r="E304" s="250"/>
      <c r="F304" s="323">
        <f t="shared" si="40"/>
        <v>27.299999999999997</v>
      </c>
      <c r="G304" s="323">
        <f t="shared" si="41"/>
        <v>7.9799999999999995</v>
      </c>
      <c r="H304" s="318"/>
    </row>
    <row r="305" spans="1:10" s="254" customFormat="1" ht="9" x14ac:dyDescent="0.15">
      <c r="A305" s="320" t="s">
        <v>1016</v>
      </c>
      <c r="B305" s="420">
        <v>2.85</v>
      </c>
      <c r="C305" s="409">
        <f t="shared" si="42"/>
        <v>9.75</v>
      </c>
      <c r="D305" s="409">
        <v>2.8</v>
      </c>
      <c r="E305" s="250"/>
      <c r="F305" s="323">
        <f t="shared" si="40"/>
        <v>27.299999999999997</v>
      </c>
      <c r="G305" s="323">
        <f t="shared" si="41"/>
        <v>7.9799999999999995</v>
      </c>
      <c r="H305" s="318"/>
    </row>
    <row r="306" spans="1:10" s="254" customFormat="1" ht="9" x14ac:dyDescent="0.15">
      <c r="A306" s="320" t="s">
        <v>1017</v>
      </c>
      <c r="B306" s="420">
        <v>2.85</v>
      </c>
      <c r="C306" s="409">
        <f t="shared" si="42"/>
        <v>9.75</v>
      </c>
      <c r="D306" s="409">
        <v>2.8</v>
      </c>
      <c r="E306" s="250"/>
      <c r="F306" s="323">
        <f t="shared" si="40"/>
        <v>27.299999999999997</v>
      </c>
      <c r="G306" s="323">
        <f t="shared" si="41"/>
        <v>7.9799999999999995</v>
      </c>
      <c r="H306" s="318"/>
    </row>
    <row r="307" spans="1:10" s="254" customFormat="1" ht="9" x14ac:dyDescent="0.15">
      <c r="A307" s="320" t="s">
        <v>1018</v>
      </c>
      <c r="B307" s="420">
        <v>2.85</v>
      </c>
      <c r="C307" s="409">
        <f t="shared" si="42"/>
        <v>9.75</v>
      </c>
      <c r="D307" s="409">
        <v>2.8</v>
      </c>
      <c r="E307" s="250"/>
      <c r="F307" s="323">
        <f t="shared" si="40"/>
        <v>27.299999999999997</v>
      </c>
      <c r="G307" s="323">
        <f t="shared" si="41"/>
        <v>7.9799999999999995</v>
      </c>
      <c r="H307" s="318"/>
    </row>
    <row r="308" spans="1:10" s="254" customFormat="1" ht="9" x14ac:dyDescent="0.15">
      <c r="A308" s="320" t="s">
        <v>1019</v>
      </c>
      <c r="B308" s="420">
        <v>2.85</v>
      </c>
      <c r="C308" s="409">
        <f t="shared" si="42"/>
        <v>9.75</v>
      </c>
      <c r="D308" s="409">
        <v>2.8</v>
      </c>
      <c r="E308" s="250"/>
      <c r="F308" s="323">
        <f t="shared" si="40"/>
        <v>27.299999999999997</v>
      </c>
      <c r="G308" s="323">
        <f t="shared" si="41"/>
        <v>7.9799999999999995</v>
      </c>
      <c r="H308" s="318"/>
    </row>
    <row r="309" spans="1:10" s="254" customFormat="1" ht="9" x14ac:dyDescent="0.15">
      <c r="A309" s="320" t="s">
        <v>1020</v>
      </c>
      <c r="B309" s="420">
        <v>2.85</v>
      </c>
      <c r="C309" s="409">
        <f t="shared" si="42"/>
        <v>9.75</v>
      </c>
      <c r="D309" s="409">
        <v>2.8</v>
      </c>
      <c r="E309" s="250"/>
      <c r="F309" s="323">
        <f t="shared" si="40"/>
        <v>27.299999999999997</v>
      </c>
      <c r="G309" s="323">
        <f t="shared" si="41"/>
        <v>7.9799999999999995</v>
      </c>
      <c r="H309" s="318"/>
    </row>
    <row r="310" spans="1:10" s="254" customFormat="1" ht="9" x14ac:dyDescent="0.15">
      <c r="A310" s="595" t="s">
        <v>1021</v>
      </c>
      <c r="B310" s="421">
        <v>2.9</v>
      </c>
      <c r="C310" s="412">
        <f>11.85-B310</f>
        <v>8.9499999999999993</v>
      </c>
      <c r="D310" s="412">
        <v>2.8</v>
      </c>
      <c r="E310" s="250"/>
      <c r="F310" s="323">
        <f t="shared" si="40"/>
        <v>25.059999999999995</v>
      </c>
      <c r="G310" s="323">
        <f t="shared" si="41"/>
        <v>8.1199999999999992</v>
      </c>
      <c r="H310" s="318"/>
    </row>
    <row r="311" spans="1:10" s="254" customFormat="1" ht="9" x14ac:dyDescent="0.15">
      <c r="E311" s="250"/>
      <c r="F311" s="422">
        <f>SUM(F300:F310)</f>
        <v>295.96000000000004</v>
      </c>
      <c r="G311" s="422">
        <f>SUM(G300:G310)</f>
        <v>101.5</v>
      </c>
      <c r="H311" s="318"/>
    </row>
    <row r="312" spans="1:10" s="254" customFormat="1" ht="9" x14ac:dyDescent="0.15">
      <c r="E312" s="250"/>
      <c r="F312" s="318"/>
      <c r="G312" s="318"/>
      <c r="H312" s="318"/>
    </row>
    <row r="313" spans="1:10" s="254" customFormat="1" ht="15" x14ac:dyDescent="0.25">
      <c r="A313" s="810" t="s">
        <v>1413</v>
      </c>
      <c r="B313" s="811"/>
      <c r="C313" s="811"/>
      <c r="D313" s="812"/>
      <c r="E313" s="250"/>
      <c r="F313" s="375"/>
      <c r="G313" s="375"/>
      <c r="H313" s="375"/>
      <c r="I313" s="375"/>
      <c r="J313" s="375"/>
    </row>
    <row r="314" spans="1:10" s="254" customFormat="1" ht="9" x14ac:dyDescent="0.15">
      <c r="A314" s="431"/>
      <c r="B314" s="596" t="s">
        <v>1407</v>
      </c>
      <c r="C314" s="597" t="s">
        <v>1408</v>
      </c>
      <c r="D314" s="597" t="s">
        <v>1409</v>
      </c>
      <c r="E314" s="250"/>
      <c r="F314" s="417"/>
      <c r="G314" s="417"/>
      <c r="H314" s="318"/>
    </row>
    <row r="315" spans="1:10" s="254" customFormat="1" ht="9" x14ac:dyDescent="0.15">
      <c r="A315" s="434" t="s">
        <v>604</v>
      </c>
      <c r="B315" s="419"/>
      <c r="C315" s="414">
        <f>2*(2*0.6*1.8)+2*(2*1.2*1.8)</f>
        <v>12.96</v>
      </c>
      <c r="D315" s="414">
        <f>1.2*0.6</f>
        <v>0.72</v>
      </c>
      <c r="E315" s="250"/>
      <c r="F315" s="323">
        <f>B315+C315+D315</f>
        <v>13.680000000000001</v>
      </c>
      <c r="G315" s="323"/>
      <c r="H315" s="318"/>
    </row>
    <row r="316" spans="1:10" s="254" customFormat="1" ht="9" x14ac:dyDescent="0.15">
      <c r="A316" s="320" t="s">
        <v>603</v>
      </c>
      <c r="B316" s="420">
        <f>0.15*(1.2*0.6)</f>
        <v>0.108</v>
      </c>
      <c r="C316" s="409">
        <f>0.15*((2*1.2*1.8)+(2*0.6*1.8))</f>
        <v>0.97199999999999998</v>
      </c>
      <c r="D316" s="409">
        <f>(0.15*0.6*1.2)</f>
        <v>0.108</v>
      </c>
      <c r="E316" s="250"/>
      <c r="F316" s="323">
        <f t="shared" ref="F316:F324" si="43">B316+C316+D316</f>
        <v>1.1880000000000002</v>
      </c>
      <c r="G316" s="323"/>
      <c r="H316" s="318"/>
    </row>
    <row r="317" spans="1:10" s="254" customFormat="1" ht="9" x14ac:dyDescent="0.15">
      <c r="A317" s="320" t="s">
        <v>605</v>
      </c>
      <c r="B317" s="420">
        <f>B316*100</f>
        <v>10.8</v>
      </c>
      <c r="C317" s="409">
        <f>C316*100</f>
        <v>97.2</v>
      </c>
      <c r="D317" s="409">
        <f>D316*100</f>
        <v>10.8</v>
      </c>
      <c r="E317" s="250"/>
      <c r="F317" s="323">
        <f t="shared" si="43"/>
        <v>118.8</v>
      </c>
      <c r="G317" s="323"/>
      <c r="H317" s="318"/>
    </row>
    <row r="318" spans="1:10" s="254" customFormat="1" ht="9" x14ac:dyDescent="0.15">
      <c r="A318" s="320"/>
      <c r="B318" s="420"/>
      <c r="C318" s="409"/>
      <c r="D318" s="409"/>
      <c r="E318" s="250"/>
      <c r="F318" s="323"/>
      <c r="G318" s="323"/>
      <c r="H318" s="318"/>
    </row>
    <row r="319" spans="1:10" s="254" customFormat="1" ht="9" x14ac:dyDescent="0.15">
      <c r="A319" s="320" t="s">
        <v>1410</v>
      </c>
      <c r="B319" s="420">
        <f>0.6*1.2</f>
        <v>0.72</v>
      </c>
      <c r="C319" s="409">
        <f>C315</f>
        <v>12.96</v>
      </c>
      <c r="D319" s="409">
        <f>2*D315</f>
        <v>1.44</v>
      </c>
      <c r="E319" s="250"/>
      <c r="F319" s="323">
        <f t="shared" si="43"/>
        <v>15.120000000000001</v>
      </c>
      <c r="G319" s="323"/>
      <c r="H319" s="318"/>
    </row>
    <row r="320" spans="1:10" s="254" customFormat="1" ht="9" x14ac:dyDescent="0.15">
      <c r="A320" s="320" t="s">
        <v>1411</v>
      </c>
      <c r="B320" s="420">
        <f>B319</f>
        <v>0.72</v>
      </c>
      <c r="C320" s="409">
        <f>C319</f>
        <v>12.96</v>
      </c>
      <c r="D320" s="409">
        <f>D319</f>
        <v>1.44</v>
      </c>
      <c r="E320" s="250"/>
      <c r="F320" s="323">
        <f t="shared" si="43"/>
        <v>15.120000000000001</v>
      </c>
      <c r="G320" s="323"/>
      <c r="H320" s="318"/>
    </row>
    <row r="321" spans="1:8" s="254" customFormat="1" ht="9" x14ac:dyDescent="0.15">
      <c r="A321" s="320"/>
      <c r="B321" s="420"/>
      <c r="C321" s="409"/>
      <c r="D321" s="409"/>
      <c r="E321" s="250"/>
      <c r="F321" s="323"/>
      <c r="G321" s="323"/>
      <c r="H321" s="318"/>
    </row>
    <row r="322" spans="1:8" s="254" customFormat="1" ht="9" x14ac:dyDescent="0.15">
      <c r="A322" s="737" t="s">
        <v>1428</v>
      </c>
      <c r="B322" s="420">
        <f>B319/2</f>
        <v>0.36</v>
      </c>
      <c r="C322" s="409">
        <f>C319/2</f>
        <v>6.48</v>
      </c>
      <c r="D322" s="409">
        <f>D319/2</f>
        <v>0.72</v>
      </c>
      <c r="E322" s="250"/>
      <c r="F322" s="323">
        <f t="shared" si="43"/>
        <v>7.5600000000000005</v>
      </c>
      <c r="G322" s="323"/>
      <c r="H322" s="318"/>
    </row>
    <row r="323" spans="1:8" s="254" customFormat="1" ht="9" x14ac:dyDescent="0.15">
      <c r="A323" s="737" t="s">
        <v>1429</v>
      </c>
      <c r="B323" s="420"/>
      <c r="C323" s="409">
        <f>C322</f>
        <v>6.48</v>
      </c>
      <c r="D323" s="409">
        <f>D322</f>
        <v>0.72</v>
      </c>
      <c r="E323" s="250"/>
      <c r="F323" s="323">
        <f t="shared" ref="F323" si="44">B323+C323+D323</f>
        <v>7.2</v>
      </c>
      <c r="G323" s="323"/>
      <c r="H323" s="318"/>
    </row>
    <row r="324" spans="1:8" s="254" customFormat="1" ht="9" x14ac:dyDescent="0.15">
      <c r="A324" s="320" t="s">
        <v>1412</v>
      </c>
      <c r="B324" s="420">
        <f>B322</f>
        <v>0.36</v>
      </c>
      <c r="C324" s="409">
        <f>C322</f>
        <v>6.48</v>
      </c>
      <c r="D324" s="409">
        <f>D322</f>
        <v>0.72</v>
      </c>
      <c r="E324" s="250"/>
      <c r="F324" s="323">
        <f t="shared" si="43"/>
        <v>7.5600000000000005</v>
      </c>
      <c r="G324" s="323"/>
      <c r="H324" s="318"/>
    </row>
    <row r="325" spans="1:8" s="254" customFormat="1" ht="9" x14ac:dyDescent="0.15">
      <c r="E325" s="250"/>
      <c r="F325" s="318"/>
      <c r="G325" s="318"/>
      <c r="H325" s="318"/>
    </row>
    <row r="326" spans="1:8" s="254" customFormat="1" ht="9" x14ac:dyDescent="0.15">
      <c r="E326" s="250"/>
      <c r="F326" s="318"/>
      <c r="G326" s="318"/>
      <c r="H326" s="318"/>
    </row>
  </sheetData>
  <customSheetViews>
    <customSheetView guid="{64A379BA-3141-462E-A550-7507503698AB}" scale="130" fitToPage="1" topLeftCell="A142">
      <selection activeCell="B166" sqref="B166"/>
      <pageMargins left="0.511811024" right="0.511811024" top="0.78740157499999996" bottom="0.78740157499999996" header="0.31496062000000002" footer="0.31496062000000002"/>
      <pageSetup paperSize="9" scale="62" fitToHeight="15" orientation="portrait" r:id="rId1"/>
    </customSheetView>
    <customSheetView guid="{085E57EC-FCE4-472B-96BD-85A48C0D7EC5}" scale="130" fitToPage="1" showRuler="0" topLeftCell="A142">
      <selection activeCell="G27" sqref="G27"/>
      <pageMargins left="0.511811024" right="0.511811024" top="0.78740157499999996" bottom="0.78740157499999996" header="0.31496062000000002" footer="0.31496062000000002"/>
      <pageSetup paperSize="9" scale="62" fitToHeight="15" orientation="portrait" r:id="rId2"/>
      <headerFooter alignWithMargins="0"/>
    </customSheetView>
    <customSheetView guid="{DD765DCE-E655-456A-9D24-4450FE20736A}" scale="130" fitToPage="1" hiddenColumns="1" topLeftCell="A125">
      <selection activeCell="A145" sqref="A145"/>
      <pageMargins left="0.511811024" right="0.511811024" top="0.78740157499999996" bottom="0.78740157499999996" header="0.31496062000000002" footer="0.31496062000000002"/>
      <pageSetup paperSize="9" scale="62" fitToHeight="15" orientation="portrait" r:id="rId3"/>
    </customSheetView>
    <customSheetView guid="{A9E6D264-7B9C-4375-A0CF-466470785BB4}" scale="130" fitToPage="1" hiddenColumns="1" topLeftCell="A125">
      <selection activeCell="A145" sqref="A145"/>
      <pageMargins left="0.511811024" right="0.511811024" top="0.78740157499999996" bottom="0.78740157499999996" header="0.31496062000000002" footer="0.31496062000000002"/>
      <pageSetup paperSize="9" scale="62" fitToHeight="15" orientation="portrait" r:id="rId4"/>
    </customSheetView>
  </customSheetViews>
  <mergeCells count="47">
    <mergeCell ref="A313:D313"/>
    <mergeCell ref="A287:D287"/>
    <mergeCell ref="A292:D292"/>
    <mergeCell ref="A276:D276"/>
    <mergeCell ref="A252:D252"/>
    <mergeCell ref="A260:D260"/>
    <mergeCell ref="A268:D268"/>
    <mergeCell ref="A270:D270"/>
    <mergeCell ref="A298:D298"/>
    <mergeCell ref="A240:D240"/>
    <mergeCell ref="A242:A244"/>
    <mergeCell ref="A247:A249"/>
    <mergeCell ref="B242:B244"/>
    <mergeCell ref="B247:B249"/>
    <mergeCell ref="A220:D220"/>
    <mergeCell ref="B184:C184"/>
    <mergeCell ref="A211:D211"/>
    <mergeCell ref="A218:D218"/>
    <mergeCell ref="A227:D227"/>
    <mergeCell ref="A1:D1"/>
    <mergeCell ref="A74:D74"/>
    <mergeCell ref="A76:D76"/>
    <mergeCell ref="A113:D113"/>
    <mergeCell ref="A48:D48"/>
    <mergeCell ref="A41:D41"/>
    <mergeCell ref="A3:D3"/>
    <mergeCell ref="A5:D5"/>
    <mergeCell ref="A29:D29"/>
    <mergeCell ref="A50:A54"/>
    <mergeCell ref="A62:D62"/>
    <mergeCell ref="A101:D101"/>
    <mergeCell ref="A115:A117"/>
    <mergeCell ref="A125:D125"/>
    <mergeCell ref="A43:A46"/>
    <mergeCell ref="A119:A120"/>
    <mergeCell ref="B178:C178"/>
    <mergeCell ref="A136:D136"/>
    <mergeCell ref="B158:C158"/>
    <mergeCell ref="A164:C164"/>
    <mergeCell ref="B165:C165"/>
    <mergeCell ref="B171:C171"/>
    <mergeCell ref="A177:C177"/>
    <mergeCell ref="B139:C139"/>
    <mergeCell ref="A138:C138"/>
    <mergeCell ref="B145:C145"/>
    <mergeCell ref="A151:C151"/>
    <mergeCell ref="B152:C152"/>
  </mergeCells>
  <phoneticPr fontId="0" type="noConversion"/>
  <pageMargins left="0.51181102362204722" right="0.51181102362204722" top="0.78740157480314965" bottom="0.78740157480314965" header="0.31496062992125984" footer="0.31496062992125984"/>
  <pageSetup paperSize="9" scale="46" fitToHeight="15" orientation="landscape"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10"/>
  <sheetViews>
    <sheetView zoomScaleNormal="100" workbookViewId="0">
      <pane xSplit="2" topLeftCell="C1" activePane="topRight" state="frozen"/>
      <selection activeCell="A127" sqref="A127"/>
      <selection pane="topRight" activeCell="F120" sqref="F120"/>
    </sheetView>
  </sheetViews>
  <sheetFormatPr defaultRowHeight="15" x14ac:dyDescent="0.25"/>
  <cols>
    <col min="1" max="1" width="5.140625" style="10" customWidth="1"/>
    <col min="2" max="2" width="36.7109375" style="78" customWidth="1"/>
    <col min="3" max="3" width="10.7109375" style="216" customWidth="1"/>
    <col min="4" max="4" width="10.7109375" customWidth="1"/>
    <col min="5" max="5" width="10.7109375" style="216" customWidth="1"/>
    <col min="6" max="6" width="10.7109375" customWidth="1"/>
    <col min="7" max="7" width="10.7109375" style="216" customWidth="1"/>
    <col min="8" max="8" width="10.7109375" customWidth="1"/>
    <col min="9" max="9" width="3.140625" customWidth="1"/>
    <col min="10" max="10" width="17" style="75" customWidth="1"/>
    <col min="11" max="11" width="11.140625" bestFit="1" customWidth="1"/>
  </cols>
  <sheetData>
    <row r="1" spans="1:11" x14ac:dyDescent="0.25">
      <c r="A1" s="813" t="s">
        <v>243</v>
      </c>
      <c r="B1" s="814"/>
      <c r="C1" s="814"/>
      <c r="D1" s="814"/>
      <c r="E1" s="814"/>
      <c r="F1" s="814"/>
      <c r="G1" s="814"/>
      <c r="H1" s="814"/>
      <c r="I1" s="815"/>
      <c r="J1" s="815"/>
      <c r="K1" s="816"/>
    </row>
    <row r="2" spans="1:11" x14ac:dyDescent="0.25">
      <c r="A2" s="817"/>
      <c r="B2" s="818"/>
      <c r="C2" s="818"/>
      <c r="D2" s="818"/>
      <c r="E2" s="818"/>
      <c r="F2" s="818"/>
      <c r="G2" s="818"/>
      <c r="H2" s="818"/>
      <c r="I2" s="819"/>
      <c r="J2" s="819"/>
      <c r="K2" s="820"/>
    </row>
    <row r="3" spans="1:11" x14ac:dyDescent="0.25">
      <c r="A3" s="817"/>
      <c r="B3" s="818"/>
      <c r="C3" s="818"/>
      <c r="D3" s="818"/>
      <c r="E3" s="818"/>
      <c r="F3" s="818"/>
      <c r="G3" s="818"/>
      <c r="H3" s="818"/>
      <c r="I3" s="819"/>
      <c r="J3" s="819"/>
      <c r="K3" s="820"/>
    </row>
    <row r="4" spans="1:11" x14ac:dyDescent="0.25">
      <c r="A4" s="817"/>
      <c r="B4" s="818"/>
      <c r="C4" s="818"/>
      <c r="D4" s="818"/>
      <c r="E4" s="818"/>
      <c r="F4" s="818"/>
      <c r="G4" s="818"/>
      <c r="H4" s="818"/>
      <c r="I4" s="819"/>
      <c r="J4" s="819"/>
      <c r="K4" s="820"/>
    </row>
    <row r="5" spans="1:11" x14ac:dyDescent="0.25">
      <c r="A5" s="817"/>
      <c r="B5" s="818"/>
      <c r="C5" s="818"/>
      <c r="D5" s="818"/>
      <c r="E5" s="818"/>
      <c r="F5" s="818"/>
      <c r="G5" s="818"/>
      <c r="H5" s="818"/>
      <c r="I5" s="819"/>
      <c r="J5" s="819"/>
      <c r="K5" s="820"/>
    </row>
    <row r="6" spans="1:11" s="81" customFormat="1" ht="15.75" x14ac:dyDescent="0.25">
      <c r="A6" s="821"/>
      <c r="B6" s="822"/>
      <c r="C6" s="822"/>
      <c r="D6" s="822"/>
      <c r="E6" s="822"/>
      <c r="F6" s="822"/>
      <c r="G6" s="822"/>
      <c r="H6" s="822"/>
      <c r="I6" s="822"/>
      <c r="J6" s="822"/>
      <c r="K6" s="823"/>
    </row>
    <row r="7" spans="1:11" s="81" customFormat="1" ht="15.75" x14ac:dyDescent="0.25">
      <c r="A7" s="722"/>
      <c r="B7" s="87" t="s">
        <v>67</v>
      </c>
      <c r="C7" s="212"/>
      <c r="D7" s="83" t="str">
        <f>ANALÍTICO!D7</f>
        <v>Alameda Carlos de Carvalho, 528</v>
      </c>
      <c r="E7" s="217"/>
      <c r="F7" s="84"/>
      <c r="G7" s="218"/>
      <c r="H7" s="85"/>
      <c r="I7" s="82"/>
      <c r="J7" s="86"/>
      <c r="K7" s="723"/>
    </row>
    <row r="8" spans="1:11" s="81" customFormat="1" ht="20.25" customHeight="1" x14ac:dyDescent="0.25">
      <c r="A8" s="724"/>
      <c r="B8" s="725" t="s">
        <v>69</v>
      </c>
      <c r="C8" s="726"/>
      <c r="D8" s="727" t="str">
        <f>ANALÍTICO!D8</f>
        <v>Curitiba/PR</v>
      </c>
      <c r="E8" s="728"/>
      <c r="F8" s="729"/>
      <c r="G8" s="730"/>
      <c r="H8" s="731"/>
      <c r="I8" s="732"/>
      <c r="J8" s="733"/>
      <c r="K8" s="734"/>
    </row>
    <row r="10" spans="1:11" x14ac:dyDescent="0.25">
      <c r="C10" s="824" t="s">
        <v>16</v>
      </c>
      <c r="D10" s="824"/>
      <c r="E10" s="824" t="s">
        <v>18</v>
      </c>
      <c r="F10" s="824"/>
      <c r="G10" s="824" t="s">
        <v>19</v>
      </c>
      <c r="H10" s="824"/>
    </row>
    <row r="11" spans="1:11" ht="30" x14ac:dyDescent="0.25">
      <c r="C11" s="236" t="s">
        <v>110</v>
      </c>
      <c r="D11" s="237" t="s">
        <v>17</v>
      </c>
      <c r="E11" s="213" t="s">
        <v>110</v>
      </c>
      <c r="F11" s="79" t="s">
        <v>17</v>
      </c>
      <c r="G11" s="213" t="s">
        <v>110</v>
      </c>
      <c r="H11" s="79" t="s">
        <v>17</v>
      </c>
      <c r="J11" s="80" t="s">
        <v>1452</v>
      </c>
      <c r="K11" s="80" t="s">
        <v>20</v>
      </c>
    </row>
    <row r="12" spans="1:11" ht="30" x14ac:dyDescent="0.25">
      <c r="A12" s="207">
        <f>ANALÍTICO!C14</f>
        <v>1</v>
      </c>
      <c r="B12" s="208" t="str">
        <f>ANALÍTICO!D14</f>
        <v>ADMINISTRAÇÃO DE OBRA E SERVIÇOS INICIAIS</v>
      </c>
      <c r="C12" s="214"/>
      <c r="D12" s="209"/>
      <c r="E12" s="235"/>
      <c r="F12" s="219"/>
      <c r="G12" s="214"/>
      <c r="H12" s="209"/>
      <c r="J12" s="210">
        <f>RESUMO!C12</f>
        <v>18641.721023999999</v>
      </c>
      <c r="K12" s="220"/>
    </row>
    <row r="13" spans="1:11" s="278" customFormat="1" ht="12.75" x14ac:dyDescent="0.2">
      <c r="A13" s="301"/>
      <c r="B13" s="302" t="str">
        <f>ANALÍTICO!D16</f>
        <v>MESTRE DE OBRAS</v>
      </c>
      <c r="C13" s="271">
        <v>0.33329999999999999</v>
      </c>
      <c r="D13" s="277">
        <f>C13*$J$13</f>
        <v>5987.9190682079998</v>
      </c>
      <c r="E13" s="273">
        <v>0.33329999999999999</v>
      </c>
      <c r="F13" s="280">
        <f>E13*$J$13</f>
        <v>5987.9190682079998</v>
      </c>
      <c r="G13" s="271">
        <v>0.33339999999999997</v>
      </c>
      <c r="H13" s="277">
        <f>G13*$J$13</f>
        <v>5989.7156235839993</v>
      </c>
      <c r="J13" s="279">
        <f>ANALÍTICO!O16</f>
        <v>17965.553759999999</v>
      </c>
      <c r="K13" s="272">
        <f>G13+E13+C13</f>
        <v>1</v>
      </c>
    </row>
    <row r="14" spans="1:11" s="278" customFormat="1" ht="24" x14ac:dyDescent="0.2">
      <c r="A14" s="301"/>
      <c r="B14" s="302" t="str">
        <f>ANALÍTICO!D18</f>
        <v>PLACA DE OBRA EM CHAPA DE ACO GALVANIZADO</v>
      </c>
      <c r="C14" s="271">
        <v>1</v>
      </c>
      <c r="D14" s="277">
        <f>C14*$J14</f>
        <v>676.16726400000005</v>
      </c>
      <c r="E14" s="291"/>
      <c r="F14" s="292"/>
      <c r="G14" s="293"/>
      <c r="H14" s="294"/>
      <c r="J14" s="279">
        <f>ANALÍTICO!O18</f>
        <v>676.16726400000005</v>
      </c>
      <c r="K14" s="272">
        <f>G14+E14+C14</f>
        <v>1</v>
      </c>
    </row>
    <row r="15" spans="1:11" x14ac:dyDescent="0.25">
      <c r="A15" s="76"/>
      <c r="B15" s="233"/>
      <c r="C15" s="215"/>
      <c r="D15" s="165"/>
      <c r="E15" s="234"/>
      <c r="F15" s="221"/>
      <c r="G15" s="215"/>
      <c r="H15" s="165"/>
      <c r="J15" s="74"/>
      <c r="K15" s="297"/>
    </row>
    <row r="16" spans="1:11" x14ac:dyDescent="0.25">
      <c r="A16" s="207">
        <f>ANALÍTICO!C28</f>
        <v>2</v>
      </c>
      <c r="B16" s="290" t="str">
        <f>ANALÍTICO!D28</f>
        <v>INSTALAÇÃO DO CANTEIRO DE OBRAS</v>
      </c>
      <c r="C16" s="235"/>
      <c r="D16" s="219"/>
      <c r="E16" s="214"/>
      <c r="F16" s="209"/>
      <c r="G16" s="235"/>
      <c r="H16" s="219"/>
      <c r="J16" s="210">
        <f>ANALÍTICO!O28</f>
        <v>11476.518552</v>
      </c>
      <c r="K16" s="298"/>
    </row>
    <row r="17" spans="1:11" s="278" customFormat="1" ht="21.75" customHeight="1" x14ac:dyDescent="0.2">
      <c r="A17" s="301"/>
      <c r="B17" s="302" t="s">
        <v>985</v>
      </c>
      <c r="C17" s="271">
        <v>0.33329999999999999</v>
      </c>
      <c r="D17" s="277">
        <f>C17*$J17</f>
        <v>2152.7317053000002</v>
      </c>
      <c r="E17" s="273">
        <v>0.33329999999999999</v>
      </c>
      <c r="F17" s="280">
        <f>E17*$J17</f>
        <v>2152.7317053000002</v>
      </c>
      <c r="G17" s="271">
        <v>0.33339999999999997</v>
      </c>
      <c r="H17" s="277">
        <f>G17*$J17</f>
        <v>2153.3775894</v>
      </c>
      <c r="J17" s="279">
        <f>ANALÍTICO!O35+ANALÍTICO!O37</f>
        <v>6458.8410000000003</v>
      </c>
      <c r="K17" s="272">
        <f>G17+E17+C17</f>
        <v>1</v>
      </c>
    </row>
    <row r="18" spans="1:11" s="278" customFormat="1" ht="12.75" x14ac:dyDescent="0.2">
      <c r="A18" s="301"/>
      <c r="B18" s="302" t="s">
        <v>2</v>
      </c>
      <c r="C18" s="295"/>
      <c r="D18" s="296"/>
      <c r="E18" s="275">
        <v>0.5</v>
      </c>
      <c r="F18" s="282">
        <f>E18*J18</f>
        <v>305.50031999999999</v>
      </c>
      <c r="G18" s="274">
        <v>0.5</v>
      </c>
      <c r="H18" s="281">
        <f>G18*J18</f>
        <v>305.50031999999999</v>
      </c>
      <c r="J18" s="279">
        <f>ANALÍTICO!O30</f>
        <v>611.00063999999998</v>
      </c>
      <c r="K18" s="272">
        <f>G18+E18+C18</f>
        <v>1</v>
      </c>
    </row>
    <row r="19" spans="1:11" s="278" customFormat="1" ht="12.75" x14ac:dyDescent="0.2">
      <c r="A19" s="301"/>
      <c r="B19" s="302" t="s">
        <v>983</v>
      </c>
      <c r="C19" s="271">
        <v>0.5</v>
      </c>
      <c r="D19" s="277">
        <f>C19*$J19</f>
        <v>1665.7900559999998</v>
      </c>
      <c r="E19" s="273">
        <v>0.5</v>
      </c>
      <c r="F19" s="280">
        <f>E19*$J19</f>
        <v>1665.7900559999998</v>
      </c>
      <c r="G19" s="274"/>
      <c r="H19" s="281"/>
      <c r="J19" s="279">
        <f>SUM(ANALÍTICO!O39:O44)</f>
        <v>3331.5801119999996</v>
      </c>
      <c r="K19" s="272">
        <f>G19+E19+C19</f>
        <v>1</v>
      </c>
    </row>
    <row r="20" spans="1:11" s="278" customFormat="1" ht="12.75" x14ac:dyDescent="0.2">
      <c r="A20" s="301"/>
      <c r="B20" s="302" t="s">
        <v>591</v>
      </c>
      <c r="C20" s="271">
        <v>0.33329999999999999</v>
      </c>
      <c r="D20" s="277">
        <f>C20*$J20</f>
        <v>358.32976344000002</v>
      </c>
      <c r="E20" s="273">
        <v>0.33329999999999999</v>
      </c>
      <c r="F20" s="280">
        <f>E20*$J20</f>
        <v>358.32976344000002</v>
      </c>
      <c r="G20" s="271">
        <v>0.33339999999999997</v>
      </c>
      <c r="H20" s="277">
        <f>G20*$J20</f>
        <v>358.43727311999999</v>
      </c>
      <c r="J20" s="279">
        <f>ANALÍTICO!O54</f>
        <v>1075.0968</v>
      </c>
      <c r="K20" s="272">
        <f>G20+E20+C20</f>
        <v>1</v>
      </c>
    </row>
    <row r="21" spans="1:11" x14ac:dyDescent="0.25">
      <c r="A21" s="76"/>
      <c r="B21" s="233"/>
      <c r="C21" s="215"/>
      <c r="D21" s="165"/>
      <c r="E21" s="234"/>
      <c r="F21" s="221"/>
      <c r="G21" s="215"/>
      <c r="H21" s="165"/>
      <c r="J21" s="74"/>
      <c r="K21" s="297"/>
    </row>
    <row r="22" spans="1:11" ht="30" customHeight="1" x14ac:dyDescent="0.25">
      <c r="A22" s="303">
        <f>ANALÍTICO!C58</f>
        <v>3</v>
      </c>
      <c r="B22" s="290" t="str">
        <f>ANALÍTICO!D58</f>
        <v>PAVIMENTO TÉRREO CASARÃO - cozinha e banheiros</v>
      </c>
      <c r="C22" s="235"/>
      <c r="D22" s="219"/>
      <c r="E22" s="214"/>
      <c r="F22" s="209"/>
      <c r="G22" s="235"/>
      <c r="H22" s="219"/>
      <c r="J22" s="210">
        <f>ANALÍTICO!O58</f>
        <v>86810.823581940014</v>
      </c>
      <c r="K22" s="299"/>
    </row>
    <row r="23" spans="1:11" s="278" customFormat="1" ht="12.75" x14ac:dyDescent="0.2">
      <c r="A23" s="301" t="str">
        <f>ANALÍTICO!C60</f>
        <v>3.1</v>
      </c>
      <c r="B23" s="302" t="str">
        <f>ANALÍTICO!D60</f>
        <v>DEMOLIÇÕES</v>
      </c>
      <c r="C23" s="304">
        <v>1</v>
      </c>
      <c r="D23" s="305">
        <f>C23*$J23</f>
        <v>6472.1636859599994</v>
      </c>
      <c r="E23" s="307"/>
      <c r="F23" s="308"/>
      <c r="G23" s="307"/>
      <c r="H23" s="308"/>
      <c r="J23" s="279">
        <f>ANALÍTICO!O60</f>
        <v>6472.1636859599994</v>
      </c>
      <c r="K23" s="272">
        <f>G23+E23+C23</f>
        <v>1</v>
      </c>
    </row>
    <row r="24" spans="1:11" s="278" customFormat="1" ht="12.75" x14ac:dyDescent="0.2">
      <c r="A24" s="301" t="str">
        <f>ANALÍTICO!C102</f>
        <v>3.2</v>
      </c>
      <c r="B24" s="302" t="str">
        <f>ANALÍTICO!D102</f>
        <v>SUPRA-ESTRUTURA</v>
      </c>
      <c r="C24" s="271">
        <v>1</v>
      </c>
      <c r="D24" s="277">
        <f>C24*$J24</f>
        <v>727.15137876000006</v>
      </c>
      <c r="E24" s="300"/>
      <c r="F24" s="294"/>
      <c r="G24" s="300"/>
      <c r="H24" s="294"/>
      <c r="J24" s="279">
        <f>ANALÍTICO!O102</f>
        <v>727.15137876000006</v>
      </c>
      <c r="K24" s="272">
        <f t="shared" ref="K24:K35" si="0">G24+E24+C24</f>
        <v>1</v>
      </c>
    </row>
    <row r="25" spans="1:11" s="278" customFormat="1" ht="12.75" x14ac:dyDescent="0.2">
      <c r="A25" s="301" t="str">
        <f>ANALÍTICO!C137</f>
        <v>3.3</v>
      </c>
      <c r="B25" s="302" t="str">
        <f>ANALÍTICO!D137</f>
        <v>PAREDES E PAINÉIS</v>
      </c>
      <c r="C25" s="271">
        <v>0.5</v>
      </c>
      <c r="D25" s="277">
        <f>C25*$J25</f>
        <v>7747.8380617499997</v>
      </c>
      <c r="E25" s="271">
        <v>0.5</v>
      </c>
      <c r="F25" s="277">
        <f>J25*E25</f>
        <v>7747.8380617499997</v>
      </c>
      <c r="G25" s="300"/>
      <c r="H25" s="294"/>
      <c r="J25" s="279">
        <f>ANALÍTICO!O137</f>
        <v>15495.676123499999</v>
      </c>
      <c r="K25" s="272">
        <f t="shared" si="0"/>
        <v>1</v>
      </c>
    </row>
    <row r="26" spans="1:11" s="278" customFormat="1" ht="12.75" x14ac:dyDescent="0.2">
      <c r="A26" s="301" t="str">
        <f>ANALÍTICO!C149</f>
        <v>3.4</v>
      </c>
      <c r="B26" s="302" t="str">
        <f>ANALÍTICO!D149</f>
        <v>ESQUADRIAS</v>
      </c>
      <c r="C26" s="271">
        <v>0.5</v>
      </c>
      <c r="D26" s="277">
        <f>C26*$J26</f>
        <v>3324.2345703000005</v>
      </c>
      <c r="E26" s="271">
        <v>0.5</v>
      </c>
      <c r="F26" s="277">
        <f>E26*J26</f>
        <v>3324.2345703000005</v>
      </c>
      <c r="G26" s="300"/>
      <c r="H26" s="294"/>
      <c r="J26" s="279">
        <f>ANALÍTICO!O149</f>
        <v>6648.4691406000011</v>
      </c>
      <c r="K26" s="272">
        <f t="shared" si="0"/>
        <v>1</v>
      </c>
    </row>
    <row r="27" spans="1:11" s="278" customFormat="1" ht="12.75" x14ac:dyDescent="0.2">
      <c r="A27" s="301" t="str">
        <f>ANALÍTICO!C239</f>
        <v>3.5</v>
      </c>
      <c r="B27" s="302" t="str">
        <f>ANALÍTICO!D239</f>
        <v>FORRO</v>
      </c>
      <c r="C27" s="300"/>
      <c r="D27" s="294"/>
      <c r="E27" s="271">
        <v>1</v>
      </c>
      <c r="F27" s="277">
        <f>E27*J27</f>
        <v>5295.2838119999997</v>
      </c>
      <c r="G27" s="300"/>
      <c r="H27" s="294"/>
      <c r="J27" s="279">
        <f>ANALÍTICO!O239</f>
        <v>5295.2838119999997</v>
      </c>
      <c r="K27" s="272">
        <f t="shared" si="0"/>
        <v>1</v>
      </c>
    </row>
    <row r="28" spans="1:11" s="278" customFormat="1" ht="12.75" x14ac:dyDescent="0.2">
      <c r="A28" s="301" t="str">
        <f>ANALÍTICO!C244</f>
        <v>3.6</v>
      </c>
      <c r="B28" s="302" t="str">
        <f>ANALÍTICO!D244</f>
        <v>REVESTIMENTOS INTERNOS</v>
      </c>
      <c r="C28" s="300"/>
      <c r="D28" s="294"/>
      <c r="E28" s="271">
        <v>1</v>
      </c>
      <c r="F28" s="277">
        <f>E28*J28</f>
        <v>25158.759834959994</v>
      </c>
      <c r="G28" s="300"/>
      <c r="H28" s="294"/>
      <c r="J28" s="279">
        <f>ANALÍTICO!O244</f>
        <v>25158.759834959994</v>
      </c>
      <c r="K28" s="272"/>
    </row>
    <row r="29" spans="1:11" s="278" customFormat="1" ht="12.75" x14ac:dyDescent="0.2">
      <c r="A29" s="301" t="str">
        <f>ANALÍTICO!C264</f>
        <v>3.7</v>
      </c>
      <c r="B29" s="302" t="str">
        <f>ANALÍTICO!D264</f>
        <v xml:space="preserve">PISOS </v>
      </c>
      <c r="C29" s="300"/>
      <c r="D29" s="294"/>
      <c r="E29" s="271">
        <v>1</v>
      </c>
      <c r="F29" s="277">
        <f>E29*J29</f>
        <v>6783.4300068000011</v>
      </c>
      <c r="G29" s="300"/>
      <c r="H29" s="294"/>
      <c r="J29" s="279">
        <f>ANALÍTICO!O264</f>
        <v>6783.4300068000011</v>
      </c>
      <c r="K29" s="272">
        <f t="shared" si="0"/>
        <v>1</v>
      </c>
    </row>
    <row r="30" spans="1:11" s="278" customFormat="1" ht="12.75" x14ac:dyDescent="0.2">
      <c r="A30" s="301" t="str">
        <f>ANALÍTICO!C285</f>
        <v>3.8</v>
      </c>
      <c r="B30" s="302" t="str">
        <f>ANALÍTICO!D285</f>
        <v>RODAPÉS, SOLEIRAS E PEITORIS</v>
      </c>
      <c r="C30" s="300"/>
      <c r="D30" s="294"/>
      <c r="E30" s="271">
        <v>1</v>
      </c>
      <c r="F30" s="277">
        <f>E30*J30</f>
        <v>592.18263360000003</v>
      </c>
      <c r="G30" s="300"/>
      <c r="H30" s="294"/>
      <c r="J30" s="279">
        <f>ANALÍTICO!O285</f>
        <v>592.18263360000003</v>
      </c>
      <c r="K30" s="272">
        <f t="shared" si="0"/>
        <v>1</v>
      </c>
    </row>
    <row r="31" spans="1:11" s="278" customFormat="1" ht="12.75" x14ac:dyDescent="0.2">
      <c r="A31" s="301" t="str">
        <f>ANALÍTICO!C291</f>
        <v>3.9</v>
      </c>
      <c r="B31" s="302" t="str">
        <f>ANALÍTICO!D291</f>
        <v>INSTALAÇÕES HIDROSSANITÁRIAS</v>
      </c>
      <c r="C31" s="300"/>
      <c r="D31" s="294"/>
      <c r="E31" s="300"/>
      <c r="F31" s="294"/>
      <c r="G31" s="300"/>
      <c r="H31" s="294"/>
      <c r="J31" s="279"/>
      <c r="K31" s="272"/>
    </row>
    <row r="32" spans="1:11" s="278" customFormat="1" ht="12.75" x14ac:dyDescent="0.2">
      <c r="A32" s="301"/>
      <c r="B32" s="302" t="str">
        <f>ANALÍTICO!D293</f>
        <v>REDE DE ÁGUA FRIA/ESGOTO</v>
      </c>
      <c r="C32" s="300"/>
      <c r="D32" s="294"/>
      <c r="E32" s="271">
        <v>1</v>
      </c>
      <c r="F32" s="277">
        <f>E32*J32</f>
        <v>4348.2836520000001</v>
      </c>
      <c r="G32" s="300"/>
      <c r="H32" s="294"/>
      <c r="J32" s="279">
        <f>SUM(ANALÍTICO!O295:O353)</f>
        <v>4348.2836520000001</v>
      </c>
      <c r="K32" s="272">
        <f t="shared" si="0"/>
        <v>1</v>
      </c>
    </row>
    <row r="33" spans="1:11" s="278" customFormat="1" ht="12.75" x14ac:dyDescent="0.2">
      <c r="A33" s="301"/>
      <c r="B33" s="302" t="s">
        <v>409</v>
      </c>
      <c r="C33" s="300"/>
      <c r="D33" s="294"/>
      <c r="E33" s="271">
        <v>1</v>
      </c>
      <c r="F33" s="277">
        <f>E33*J33</f>
        <v>9833.6715191999992</v>
      </c>
      <c r="G33" s="300"/>
      <c r="H33" s="294"/>
      <c r="J33" s="279">
        <f>SUM(ANALÍTICO!O356:O457)</f>
        <v>9833.6715191999992</v>
      </c>
      <c r="K33" s="272">
        <f t="shared" si="0"/>
        <v>1</v>
      </c>
    </row>
    <row r="34" spans="1:11" s="278" customFormat="1" ht="12.75" x14ac:dyDescent="0.2">
      <c r="A34" s="301" t="str">
        <f>ANALÍTICO!C459</f>
        <v>3.10</v>
      </c>
      <c r="B34" s="302" t="str">
        <f>ANALÍTICO!D459</f>
        <v>PINTURAS</v>
      </c>
      <c r="C34" s="300"/>
      <c r="D34" s="294"/>
      <c r="E34" s="271">
        <v>1</v>
      </c>
      <c r="F34" s="277">
        <f>E34*J34</f>
        <v>5407.9824225600005</v>
      </c>
      <c r="G34" s="300"/>
      <c r="H34" s="294"/>
      <c r="J34" s="279">
        <f>ANALÍTICO!O459</f>
        <v>5407.9824225600005</v>
      </c>
      <c r="K34" s="272">
        <f t="shared" si="0"/>
        <v>1</v>
      </c>
    </row>
    <row r="35" spans="1:11" s="278" customFormat="1" ht="12.75" x14ac:dyDescent="0.2">
      <c r="A35" s="301" t="str">
        <f>ANALÍTICO!C488</f>
        <v>3.11</v>
      </c>
      <c r="B35" s="302" t="str">
        <f>ANALÍTICO!D488</f>
        <v>COMUNICAÇÃO VISUAL</v>
      </c>
      <c r="C35" s="300"/>
      <c r="D35" s="294"/>
      <c r="E35" s="271">
        <v>1</v>
      </c>
      <c r="F35" s="277">
        <f>E35*J35</f>
        <v>47.769372000000004</v>
      </c>
      <c r="G35" s="300"/>
      <c r="H35" s="294"/>
      <c r="J35" s="279">
        <f>ANALÍTICO!O488</f>
        <v>47.769372000000004</v>
      </c>
      <c r="K35" s="272">
        <f t="shared" si="0"/>
        <v>1</v>
      </c>
    </row>
    <row r="36" spans="1:11" s="278" customFormat="1" ht="12.75" x14ac:dyDescent="0.2">
      <c r="A36" s="284"/>
      <c r="B36" s="285"/>
      <c r="C36" s="286"/>
      <c r="D36" s="287"/>
      <c r="E36" s="288"/>
      <c r="F36" s="288"/>
      <c r="G36" s="286"/>
      <c r="H36" s="287"/>
      <c r="J36" s="279"/>
      <c r="K36" s="289"/>
    </row>
    <row r="37" spans="1:11" ht="30" x14ac:dyDescent="0.25">
      <c r="A37" s="303">
        <f>ANALÍTICO!C495</f>
        <v>4</v>
      </c>
      <c r="B37" s="208" t="str">
        <f>ANALÍTICO!D495</f>
        <v>PAVIMENTO SOBRELOJA CASARÃO - gabinete, ambulatório, banheiros</v>
      </c>
      <c r="C37" s="235"/>
      <c r="D37" s="219"/>
      <c r="E37" s="214"/>
      <c r="F37" s="209"/>
      <c r="G37" s="235"/>
      <c r="H37" s="219"/>
      <c r="J37" s="210">
        <f>ANALÍTICO!O495</f>
        <v>94903.157193920022</v>
      </c>
      <c r="K37" s="211"/>
    </row>
    <row r="38" spans="1:11" s="278" customFormat="1" ht="12.75" x14ac:dyDescent="0.2">
      <c r="A38" s="301" t="str">
        <f>ANALÍTICO!C497</f>
        <v>4.1</v>
      </c>
      <c r="B38" s="302" t="str">
        <f>ANALÍTICO!D497</f>
        <v>DEMOLIÇÕES</v>
      </c>
      <c r="C38" s="304">
        <v>1</v>
      </c>
      <c r="D38" s="305">
        <f>C38*$J38</f>
        <v>8136.2971731199987</v>
      </c>
      <c r="E38" s="307"/>
      <c r="F38" s="308"/>
      <c r="G38" s="307"/>
      <c r="H38" s="308"/>
      <c r="J38" s="279">
        <f>ANALÍTICO!O497</f>
        <v>8136.2971731199987</v>
      </c>
      <c r="K38" s="272">
        <f>G38+E38+C38</f>
        <v>1</v>
      </c>
    </row>
    <row r="39" spans="1:11" s="278" customFormat="1" ht="12.75" x14ac:dyDescent="0.2">
      <c r="A39" s="301" t="str">
        <f>ANALÍTICO!C532</f>
        <v>4.2</v>
      </c>
      <c r="B39" s="302" t="str">
        <f>ANALÍTICO!D532</f>
        <v>SUPRA-ESTRUTURA</v>
      </c>
      <c r="C39" s="271">
        <v>1</v>
      </c>
      <c r="D39" s="277">
        <f>C39*$J39</f>
        <v>10099.731925799999</v>
      </c>
      <c r="E39" s="300"/>
      <c r="F39" s="294"/>
      <c r="G39" s="300"/>
      <c r="H39" s="294"/>
      <c r="J39" s="279">
        <f>ANALÍTICO!O532</f>
        <v>10099.731925799999</v>
      </c>
      <c r="K39" s="272">
        <f t="shared" ref="K39:K51" si="1">G39+E39+C39</f>
        <v>1</v>
      </c>
    </row>
    <row r="40" spans="1:11" s="278" customFormat="1" ht="12.75" x14ac:dyDescent="0.2">
      <c r="A40" s="301" t="str">
        <f>ANALÍTICO!C567</f>
        <v>4.3</v>
      </c>
      <c r="B40" s="302" t="str">
        <f>ANALÍTICO!D567</f>
        <v>PAREDES E PAINÉIS</v>
      </c>
      <c r="C40" s="271">
        <v>0.5</v>
      </c>
      <c r="D40" s="277">
        <f>C40*$J40</f>
        <v>8139.6230012999995</v>
      </c>
      <c r="E40" s="271">
        <v>0.5</v>
      </c>
      <c r="F40" s="277">
        <f>J40*E40</f>
        <v>8139.6230012999995</v>
      </c>
      <c r="G40" s="300"/>
      <c r="H40" s="294"/>
      <c r="J40" s="279">
        <f>ANALÍTICO!O567</f>
        <v>16279.246002599999</v>
      </c>
      <c r="K40" s="272">
        <f t="shared" si="1"/>
        <v>1</v>
      </c>
    </row>
    <row r="41" spans="1:11" s="278" customFormat="1" ht="12.75" x14ac:dyDescent="0.2">
      <c r="A41" s="301" t="str">
        <f>ANALÍTICO!C579</f>
        <v>4.4</v>
      </c>
      <c r="B41" s="302" t="str">
        <f>ANALÍTICO!D579</f>
        <v>ESQUADRIAS</v>
      </c>
      <c r="C41" s="271">
        <v>0.5</v>
      </c>
      <c r="D41" s="277">
        <f>C41*$J41</f>
        <v>1828.223712</v>
      </c>
      <c r="E41" s="271">
        <v>0.5</v>
      </c>
      <c r="F41" s="277">
        <f>E41*J41</f>
        <v>1828.223712</v>
      </c>
      <c r="G41" s="300"/>
      <c r="H41" s="294"/>
      <c r="J41" s="279">
        <f>ANALÍTICO!O579</f>
        <v>3656.447424</v>
      </c>
      <c r="K41" s="272">
        <f t="shared" si="1"/>
        <v>1</v>
      </c>
    </row>
    <row r="42" spans="1:11" s="278" customFormat="1" ht="12.75" x14ac:dyDescent="0.2">
      <c r="A42" s="301" t="str">
        <f>ANALÍTICO!C636</f>
        <v>4.5</v>
      </c>
      <c r="B42" s="302" t="str">
        <f>ANALÍTICO!D636</f>
        <v>REVESTIMENTOS INTERNOS</v>
      </c>
      <c r="C42" s="300"/>
      <c r="D42" s="294"/>
      <c r="E42" s="271">
        <v>1</v>
      </c>
      <c r="F42" s="277">
        <f>E42*J42</f>
        <v>15621.695323199998</v>
      </c>
      <c r="G42" s="300"/>
      <c r="H42" s="294"/>
      <c r="J42" s="279">
        <f>ANALÍTICO!O636</f>
        <v>15621.695323199998</v>
      </c>
      <c r="K42" s="272">
        <f t="shared" si="1"/>
        <v>1</v>
      </c>
    </row>
    <row r="43" spans="1:11" s="278" customFormat="1" ht="12.75" x14ac:dyDescent="0.2">
      <c r="A43" s="301" t="str">
        <f>ANALÍTICO!C657</f>
        <v>4.6</v>
      </c>
      <c r="B43" s="302" t="str">
        <f>ANALÍTICO!D657</f>
        <v xml:space="preserve">PISOS </v>
      </c>
      <c r="C43" s="300"/>
      <c r="D43" s="294"/>
      <c r="E43" s="271">
        <v>1</v>
      </c>
      <c r="F43" s="277">
        <f>E43*J43</f>
        <v>6870.4632863999996</v>
      </c>
      <c r="G43" s="300"/>
      <c r="H43" s="294"/>
      <c r="J43" s="279">
        <f>ANALÍTICO!O657</f>
        <v>6870.4632863999996</v>
      </c>
      <c r="K43" s="272">
        <f t="shared" si="1"/>
        <v>1</v>
      </c>
    </row>
    <row r="44" spans="1:11" s="278" customFormat="1" ht="12.75" x14ac:dyDescent="0.2">
      <c r="A44" s="301" t="str">
        <f>ANALÍTICO!C672</f>
        <v>4.7</v>
      </c>
      <c r="B44" s="302" t="str">
        <f>ANALÍTICO!D672</f>
        <v>CORRIMÃO, RODAPÉS, SOLEIRAS E PEITORIS</v>
      </c>
      <c r="C44" s="300"/>
      <c r="D44" s="294"/>
      <c r="E44" s="271">
        <v>1</v>
      </c>
      <c r="F44" s="277">
        <f>E44*J44</f>
        <v>1127.377512</v>
      </c>
      <c r="G44" s="300"/>
      <c r="H44" s="294"/>
      <c r="J44" s="279">
        <f>ANALÍTICO!O672</f>
        <v>1127.377512</v>
      </c>
      <c r="K44" s="272">
        <f t="shared" si="1"/>
        <v>1</v>
      </c>
    </row>
    <row r="45" spans="1:11" s="278" customFormat="1" ht="12.75" x14ac:dyDescent="0.2">
      <c r="A45" s="301" t="str">
        <f>ANALÍTICO!C682</f>
        <v>4.8</v>
      </c>
      <c r="B45" s="302" t="str">
        <f>ANALÍTICO!D682</f>
        <v>INSTALAÇÕES HIDROSSANITÁRIAS</v>
      </c>
      <c r="C45" s="300"/>
      <c r="D45" s="294"/>
      <c r="E45" s="300"/>
      <c r="F45" s="294"/>
      <c r="G45" s="300"/>
      <c r="H45" s="294"/>
      <c r="J45" s="279"/>
      <c r="K45" s="272"/>
    </row>
    <row r="46" spans="1:11" s="278" customFormat="1" ht="12.75" x14ac:dyDescent="0.2">
      <c r="A46" s="301"/>
      <c r="B46" s="302" t="s">
        <v>592</v>
      </c>
      <c r="C46" s="300"/>
      <c r="D46" s="294"/>
      <c r="E46" s="271">
        <v>1</v>
      </c>
      <c r="F46" s="277">
        <f t="shared" ref="F46:F51" si="2">E46*J46</f>
        <v>243.91735199999999</v>
      </c>
      <c r="G46" s="300"/>
      <c r="H46" s="294"/>
      <c r="J46" s="279">
        <f>ANALÍTICO!O686</f>
        <v>243.91735199999999</v>
      </c>
      <c r="K46" s="272">
        <f t="shared" ref="K46" si="3">G46+E46+C46</f>
        <v>1</v>
      </c>
    </row>
    <row r="47" spans="1:11" s="278" customFormat="1" ht="12.75" x14ac:dyDescent="0.2">
      <c r="A47" s="301"/>
      <c r="B47" s="302" t="str">
        <f>ANALÍTICO!D694</f>
        <v>REDE DE ÁGUA FRIA/ESGOTO</v>
      </c>
      <c r="C47" s="300"/>
      <c r="D47" s="294"/>
      <c r="E47" s="271">
        <v>1</v>
      </c>
      <c r="F47" s="277">
        <f t="shared" si="2"/>
        <v>4253.9267519999994</v>
      </c>
      <c r="G47" s="300"/>
      <c r="H47" s="294"/>
      <c r="J47" s="279">
        <f>SUM(ANALÍTICO!O696:O748)</f>
        <v>4253.9267519999994</v>
      </c>
      <c r="K47" s="272">
        <f t="shared" si="1"/>
        <v>1</v>
      </c>
    </row>
    <row r="48" spans="1:11" s="278" customFormat="1" ht="12.75" x14ac:dyDescent="0.2">
      <c r="A48" s="301"/>
      <c r="B48" s="302" t="str">
        <f>B33</f>
        <v>LOUÇAS E METAIS</v>
      </c>
      <c r="C48" s="300"/>
      <c r="D48" s="294"/>
      <c r="E48" s="271">
        <v>1</v>
      </c>
      <c r="F48" s="277">
        <f t="shared" si="2"/>
        <v>8813.4732791999995</v>
      </c>
      <c r="G48" s="300"/>
      <c r="H48" s="294"/>
      <c r="J48" s="279">
        <f>SUM(ANALÍTICO!O751:O848)</f>
        <v>8813.4732791999995</v>
      </c>
      <c r="K48" s="272">
        <f t="shared" si="1"/>
        <v>1</v>
      </c>
    </row>
    <row r="49" spans="1:11" s="278" customFormat="1" ht="12.75" x14ac:dyDescent="0.2">
      <c r="A49" s="301" t="str">
        <f>ANALÍTICO!C850</f>
        <v>4.9</v>
      </c>
      <c r="B49" s="302" t="str">
        <f>ANALÍTICO!D850</f>
        <v>INSTALAÇÕES DE AR CONDICIONADO</v>
      </c>
      <c r="C49" s="300"/>
      <c r="D49" s="294"/>
      <c r="E49" s="271">
        <v>1</v>
      </c>
      <c r="F49" s="277">
        <f t="shared" si="2"/>
        <v>12102.332736</v>
      </c>
      <c r="G49" s="300"/>
      <c r="H49" s="294"/>
      <c r="J49" s="279">
        <f>SUM(ANALÍTICO!O853:O899)</f>
        <v>12102.332736</v>
      </c>
      <c r="K49" s="272">
        <f t="shared" si="1"/>
        <v>1</v>
      </c>
    </row>
    <row r="50" spans="1:11" s="278" customFormat="1" ht="12.75" x14ac:dyDescent="0.2">
      <c r="A50" s="301" t="str">
        <f>ANALÍTICO!C900</f>
        <v>4.10</v>
      </c>
      <c r="B50" s="302" t="str">
        <f>ANALÍTICO!D900</f>
        <v>PINTURAS</v>
      </c>
      <c r="C50" s="300"/>
      <c r="D50" s="294"/>
      <c r="E50" s="271">
        <v>1</v>
      </c>
      <c r="F50" s="277">
        <f t="shared" si="2"/>
        <v>7657.3032516000003</v>
      </c>
      <c r="G50" s="300"/>
      <c r="H50" s="294"/>
      <c r="J50" s="279">
        <f>ANALÍTICO!O900</f>
        <v>7657.3032516000003</v>
      </c>
      <c r="K50" s="272">
        <f t="shared" si="1"/>
        <v>1</v>
      </c>
    </row>
    <row r="51" spans="1:11" s="278" customFormat="1" ht="12.75" x14ac:dyDescent="0.2">
      <c r="A51" s="301" t="str">
        <f>ANALÍTICO!C938</f>
        <v>4.11</v>
      </c>
      <c r="B51" s="302" t="str">
        <f>ANALÍTICO!D938</f>
        <v>COMUNICAÇÃO VISUAL</v>
      </c>
      <c r="C51" s="300"/>
      <c r="D51" s="294"/>
      <c r="E51" s="271">
        <v>1</v>
      </c>
      <c r="F51" s="277">
        <f t="shared" si="2"/>
        <v>40.945175999999996</v>
      </c>
      <c r="G51" s="300"/>
      <c r="H51" s="294"/>
      <c r="J51" s="279">
        <f>ANALÍTICO!O938</f>
        <v>40.945175999999996</v>
      </c>
      <c r="K51" s="272">
        <f t="shared" si="1"/>
        <v>1</v>
      </c>
    </row>
    <row r="52" spans="1:11" s="278" customFormat="1" ht="12.75" x14ac:dyDescent="0.2">
      <c r="A52" s="284"/>
      <c r="B52" s="285"/>
      <c r="C52" s="286"/>
      <c r="D52" s="287"/>
      <c r="E52" s="288"/>
      <c r="F52" s="288"/>
      <c r="G52" s="286"/>
      <c r="H52" s="287"/>
      <c r="J52" s="279"/>
      <c r="K52" s="289"/>
    </row>
    <row r="53" spans="1:11" x14ac:dyDescent="0.25">
      <c r="D53" s="162"/>
      <c r="F53" s="162"/>
      <c r="H53" s="162"/>
      <c r="J53" s="310"/>
      <c r="K53" s="311"/>
    </row>
    <row r="54" spans="1:11" ht="30" x14ac:dyDescent="0.25">
      <c r="A54" s="303">
        <f>ANALÍTICO!C945</f>
        <v>5</v>
      </c>
      <c r="B54" s="208" t="str">
        <f>ANALÍTICO!D945</f>
        <v>INSTALAÇÃO DE COPA NA SOBRELOJA - EDIFICIO RIO BRANCO</v>
      </c>
      <c r="C54" s="235"/>
      <c r="D54" s="219"/>
      <c r="E54" s="214"/>
      <c r="F54" s="209"/>
      <c r="G54" s="235"/>
      <c r="H54" s="219"/>
      <c r="J54" s="210">
        <f>ANALÍTICO!O945</f>
        <v>11085.93207216</v>
      </c>
      <c r="K54" s="211"/>
    </row>
    <row r="55" spans="1:11" s="278" customFormat="1" ht="12.75" x14ac:dyDescent="0.2">
      <c r="A55" s="530" t="str">
        <f>ANALÍTICO!C947</f>
        <v>5.1</v>
      </c>
      <c r="B55" s="531" t="str">
        <f>ANALÍTICO!D947</f>
        <v>DEMOLIÇÕES</v>
      </c>
      <c r="C55" s="307"/>
      <c r="D55" s="308"/>
      <c r="E55" s="307"/>
      <c r="F55" s="308"/>
      <c r="G55" s="304">
        <v>1</v>
      </c>
      <c r="H55" s="305">
        <f>G55*J55</f>
        <v>68.661324000000008</v>
      </c>
      <c r="J55" s="279">
        <f>ANALÍTICO!O947</f>
        <v>68.661324000000008</v>
      </c>
      <c r="K55" s="272">
        <f>G55+E55+C55</f>
        <v>1</v>
      </c>
    </row>
    <row r="56" spans="1:11" s="278" customFormat="1" ht="12.75" x14ac:dyDescent="0.2">
      <c r="A56" s="301" t="str">
        <f>ANALÍTICO!C960</f>
        <v>5.2</v>
      </c>
      <c r="B56" s="302" t="str">
        <f>ANALÍTICO!D960</f>
        <v>PAREDES E PAINÉIS</v>
      </c>
      <c r="C56" s="300"/>
      <c r="D56" s="294"/>
      <c r="E56" s="300"/>
      <c r="F56" s="294"/>
      <c r="G56" s="271">
        <v>1</v>
      </c>
      <c r="H56" s="277">
        <f t="shared" ref="H56:H60" si="4">G56*J56</f>
        <v>1485.0314639999999</v>
      </c>
      <c r="J56" s="279">
        <f>ANALÍTICO!O960</f>
        <v>1485.0314639999999</v>
      </c>
      <c r="K56" s="272">
        <f t="shared" ref="K56:K60" si="5">G56+E56+C56</f>
        <v>1</v>
      </c>
    </row>
    <row r="57" spans="1:11" s="278" customFormat="1" ht="12.75" x14ac:dyDescent="0.2">
      <c r="A57" s="301" t="str">
        <f>ANALÍTICO!C967</f>
        <v>5.3</v>
      </c>
      <c r="B57" s="302" t="str">
        <f>ANALÍTICO!D967</f>
        <v>ESQUADRIAS</v>
      </c>
      <c r="C57" s="300"/>
      <c r="D57" s="294"/>
      <c r="E57" s="300"/>
      <c r="F57" s="294"/>
      <c r="G57" s="271">
        <v>1</v>
      </c>
      <c r="H57" s="277">
        <f t="shared" si="4"/>
        <v>492.48583200000002</v>
      </c>
      <c r="J57" s="279">
        <f>ANALÍTICO!O967</f>
        <v>492.48583200000002</v>
      </c>
      <c r="K57" s="272">
        <f t="shared" si="5"/>
        <v>1</v>
      </c>
    </row>
    <row r="58" spans="1:11" s="278" customFormat="1" ht="12.75" x14ac:dyDescent="0.2">
      <c r="A58" s="301" t="str">
        <f>ANALÍTICO!C989</f>
        <v>5.4</v>
      </c>
      <c r="B58" s="302" t="str">
        <f>ANALÍTICO!D989</f>
        <v>FORROS, AZULEJOS, PISOS E RODAPÉS</v>
      </c>
      <c r="C58" s="300"/>
      <c r="D58" s="294"/>
      <c r="E58" s="300"/>
      <c r="F58" s="294"/>
      <c r="G58" s="271">
        <v>1</v>
      </c>
      <c r="H58" s="277">
        <f t="shared" si="4"/>
        <v>4886.9757719999998</v>
      </c>
      <c r="J58" s="279">
        <f>ANALÍTICO!O989</f>
        <v>4886.9757719999998</v>
      </c>
      <c r="K58" s="272">
        <f t="shared" si="5"/>
        <v>1</v>
      </c>
    </row>
    <row r="59" spans="1:11" s="278" customFormat="1" ht="12.75" x14ac:dyDescent="0.2">
      <c r="A59" s="301" t="str">
        <f>ANALÍTICO!C1014</f>
        <v>5.5</v>
      </c>
      <c r="B59" s="302" t="str">
        <f>ANALÍTICO!D1014</f>
        <v>INSTALAÇÕES HIDROSSANITÁRIAS</v>
      </c>
      <c r="C59" s="300"/>
      <c r="D59" s="294"/>
      <c r="E59" s="300"/>
      <c r="F59" s="294"/>
      <c r="G59" s="271">
        <v>1</v>
      </c>
      <c r="H59" s="277">
        <f t="shared" si="4"/>
        <v>722.0304359999999</v>
      </c>
      <c r="J59" s="279">
        <f>ANALÍTICO!O1014</f>
        <v>722.0304359999999</v>
      </c>
      <c r="K59" s="272">
        <f t="shared" si="5"/>
        <v>1</v>
      </c>
    </row>
    <row r="60" spans="1:11" s="278" customFormat="1" ht="12.75" x14ac:dyDescent="0.2">
      <c r="A60" s="532" t="str">
        <f>ANALÍTICO!C1058</f>
        <v>5.6</v>
      </c>
      <c r="B60" s="533" t="str">
        <f>ANALÍTICO!D1058</f>
        <v>PINTURAS</v>
      </c>
      <c r="C60" s="309"/>
      <c r="D60" s="306"/>
      <c r="E60" s="309"/>
      <c r="F60" s="306"/>
      <c r="G60" s="276">
        <v>1</v>
      </c>
      <c r="H60" s="283">
        <f t="shared" si="4"/>
        <v>3430.7472441600003</v>
      </c>
      <c r="J60" s="279">
        <f>ANALÍTICO!O1058</f>
        <v>3430.7472441600003</v>
      </c>
      <c r="K60" s="272">
        <f t="shared" si="5"/>
        <v>1</v>
      </c>
    </row>
    <row r="61" spans="1:11" s="278" customFormat="1" ht="12.75" x14ac:dyDescent="0.2">
      <c r="A61" s="284"/>
      <c r="B61" s="285"/>
      <c r="C61" s="286"/>
      <c r="D61" s="287"/>
      <c r="E61" s="288"/>
      <c r="F61" s="288"/>
      <c r="G61" s="286"/>
      <c r="H61" s="287"/>
      <c r="J61" s="279"/>
      <c r="K61" s="289"/>
    </row>
    <row r="62" spans="1:11" x14ac:dyDescent="0.25">
      <c r="A62" s="303">
        <f>ANALÍTICO!C1086</f>
        <v>6</v>
      </c>
      <c r="B62" s="208" t="str">
        <f>ANALÍTICO!D1086</f>
        <v>SALA DOS MOTORISTAS - 1º SUB SOLO</v>
      </c>
      <c r="C62" s="235"/>
      <c r="D62" s="219"/>
      <c r="E62" s="214"/>
      <c r="F62" s="209"/>
      <c r="G62" s="235"/>
      <c r="H62" s="219"/>
      <c r="J62" s="210">
        <f>ANALÍTICO!O1086</f>
        <v>76054.204364340025</v>
      </c>
      <c r="K62" s="211"/>
    </row>
    <row r="63" spans="1:11" s="278" customFormat="1" ht="12.75" x14ac:dyDescent="0.2">
      <c r="A63" s="530" t="str">
        <f>ANALÍTICO!C1088</f>
        <v>6.1</v>
      </c>
      <c r="B63" s="531" t="str">
        <f>ANALÍTICO!D1088</f>
        <v>DEMOLIÇÕES</v>
      </c>
      <c r="C63" s="307"/>
      <c r="D63" s="308"/>
      <c r="E63" s="307"/>
      <c r="F63" s="308"/>
      <c r="G63" s="304">
        <v>1</v>
      </c>
      <c r="H63" s="305">
        <f>G63*J63</f>
        <v>2188.9016596799997</v>
      </c>
      <c r="J63" s="279">
        <f>ANALÍTICO!O1088</f>
        <v>2188.9016596799997</v>
      </c>
      <c r="K63" s="272">
        <f>G63+E63+C63</f>
        <v>1</v>
      </c>
    </row>
    <row r="64" spans="1:11" s="278" customFormat="1" ht="12.75" x14ac:dyDescent="0.2">
      <c r="A64" s="301" t="str">
        <f>ANALÍTICO!C1107</f>
        <v>6.2</v>
      </c>
      <c r="B64" s="302" t="str">
        <f>ANALÍTICO!D1107</f>
        <v>SUPRA-ESTRUTURA</v>
      </c>
      <c r="C64" s="300"/>
      <c r="D64" s="294"/>
      <c r="E64" s="300"/>
      <c r="F64" s="294"/>
      <c r="G64" s="271">
        <v>1</v>
      </c>
      <c r="H64" s="277">
        <f t="shared" ref="H64:H75" si="6">G64*J64</f>
        <v>54.164139263999992</v>
      </c>
      <c r="J64" s="279">
        <f>ANALÍTICO!O1107</f>
        <v>54.164139263999992</v>
      </c>
      <c r="K64" s="272">
        <f t="shared" ref="K64:K75" si="7">G64+E64+C64</f>
        <v>1</v>
      </c>
    </row>
    <row r="65" spans="1:11" s="278" customFormat="1" ht="12.75" x14ac:dyDescent="0.2">
      <c r="A65" s="301" t="str">
        <f>ANALÍTICO!C1142</f>
        <v>6.3</v>
      </c>
      <c r="B65" s="302" t="str">
        <f>ANALÍTICO!D1142</f>
        <v>PAREDES E PAINÉIS</v>
      </c>
      <c r="C65" s="300"/>
      <c r="D65" s="294"/>
      <c r="E65" s="300"/>
      <c r="F65" s="294"/>
      <c r="G65" s="271">
        <v>1</v>
      </c>
      <c r="H65" s="277">
        <f t="shared" si="6"/>
        <v>19232.809054019999</v>
      </c>
      <c r="J65" s="279">
        <f>ANALÍTICO!O1142</f>
        <v>19232.809054019999</v>
      </c>
      <c r="K65" s="272">
        <f t="shared" si="7"/>
        <v>1</v>
      </c>
    </row>
    <row r="66" spans="1:11" s="278" customFormat="1" ht="12.75" x14ac:dyDescent="0.2">
      <c r="A66" s="301" t="str">
        <f>ANALÍTICO!C1159</f>
        <v>6.4</v>
      </c>
      <c r="B66" s="302" t="str">
        <f>ANALÍTICO!D1159</f>
        <v>ESQUADRIAS</v>
      </c>
      <c r="C66" s="300"/>
      <c r="D66" s="294"/>
      <c r="E66" s="300"/>
      <c r="F66" s="294"/>
      <c r="G66" s="271">
        <v>1</v>
      </c>
      <c r="H66" s="277">
        <f t="shared" si="6"/>
        <v>9765.7193016000001</v>
      </c>
      <c r="J66" s="279">
        <f>ANALÍTICO!O1159</f>
        <v>9765.7193016000001</v>
      </c>
      <c r="K66" s="272">
        <f t="shared" si="7"/>
        <v>1</v>
      </c>
    </row>
    <row r="67" spans="1:11" s="278" customFormat="1" ht="12.75" x14ac:dyDescent="0.2">
      <c r="A67" s="301" t="str">
        <f>ANALÍTICO!C1221</f>
        <v>6.5</v>
      </c>
      <c r="B67" s="302" t="str">
        <f>ANALÍTICO!D1221</f>
        <v>REVESTIMENTOS INTERNOS</v>
      </c>
      <c r="C67" s="300"/>
      <c r="D67" s="294"/>
      <c r="E67" s="300"/>
      <c r="F67" s="294"/>
      <c r="G67" s="271">
        <v>1</v>
      </c>
      <c r="H67" s="277">
        <f t="shared" si="6"/>
        <v>5901.3417008159995</v>
      </c>
      <c r="J67" s="279">
        <f>ANALÍTICO!O1221</f>
        <v>5901.3417008159995</v>
      </c>
      <c r="K67" s="272">
        <f t="shared" si="7"/>
        <v>1</v>
      </c>
    </row>
    <row r="68" spans="1:11" s="278" customFormat="1" ht="12.75" x14ac:dyDescent="0.2">
      <c r="A68" s="301" t="str">
        <f>ANALÍTICO!C1238</f>
        <v>6.6</v>
      </c>
      <c r="B68" s="302" t="str">
        <f>ANALÍTICO!D1238</f>
        <v xml:space="preserve">PISOS </v>
      </c>
      <c r="C68" s="300"/>
      <c r="D68" s="294"/>
      <c r="E68" s="300"/>
      <c r="F68" s="294"/>
      <c r="G68" s="271">
        <v>1</v>
      </c>
      <c r="H68" s="277">
        <f t="shared" si="6"/>
        <v>3808.4778028800001</v>
      </c>
      <c r="J68" s="279">
        <f>ANALÍTICO!O1238</f>
        <v>3808.4778028800001</v>
      </c>
      <c r="K68" s="272">
        <f t="shared" si="7"/>
        <v>1</v>
      </c>
    </row>
    <row r="69" spans="1:11" s="278" customFormat="1" ht="12.75" x14ac:dyDescent="0.2">
      <c r="A69" s="526" t="str">
        <f>ANALÍTICO!C1248</f>
        <v>6.7</v>
      </c>
      <c r="B69" s="527" t="str">
        <f>ANALÍTICO!D1248</f>
        <v>CORRIMÃO, RODAPÉS, SOLEIRAS E PEITORIS</v>
      </c>
      <c r="C69" s="300"/>
      <c r="D69" s="294"/>
      <c r="E69" s="528"/>
      <c r="F69" s="529"/>
      <c r="G69" s="271">
        <v>1</v>
      </c>
      <c r="H69" s="277">
        <f t="shared" si="6"/>
        <v>2419.8799802399999</v>
      </c>
      <c r="J69" s="279">
        <f>ANALÍTICO!O1248</f>
        <v>2419.8799802399999</v>
      </c>
      <c r="K69" s="272">
        <f t="shared" si="7"/>
        <v>1</v>
      </c>
    </row>
    <row r="70" spans="1:11" s="278" customFormat="1" ht="12.75" x14ac:dyDescent="0.2">
      <c r="A70" s="526" t="str">
        <f>ANALÍTICO!C1258</f>
        <v>6.8</v>
      </c>
      <c r="B70" s="527" t="str">
        <f>ANALÍTICO!D1258</f>
        <v>INSTALAÇÕES HIDROSSANITÁRIAS</v>
      </c>
      <c r="C70" s="300"/>
      <c r="D70" s="294"/>
      <c r="E70" s="300"/>
      <c r="F70" s="294"/>
      <c r="G70" s="300"/>
      <c r="H70" s="294"/>
      <c r="J70" s="279"/>
      <c r="K70" s="272"/>
    </row>
    <row r="71" spans="1:11" s="278" customFormat="1" ht="12.75" x14ac:dyDescent="0.2">
      <c r="A71" s="301"/>
      <c r="B71" s="302" t="s">
        <v>147</v>
      </c>
      <c r="C71" s="300"/>
      <c r="D71" s="294"/>
      <c r="E71" s="300"/>
      <c r="F71" s="294"/>
      <c r="G71" s="271">
        <v>1</v>
      </c>
      <c r="H71" s="277">
        <f t="shared" si="6"/>
        <v>2712.5734320000001</v>
      </c>
      <c r="J71" s="279">
        <f>SUM(ANALÍTICO!O1262:O1308)</f>
        <v>2712.5734320000001</v>
      </c>
      <c r="K71" s="272">
        <f t="shared" si="7"/>
        <v>1</v>
      </c>
    </row>
    <row r="72" spans="1:11" s="278" customFormat="1" ht="12.75" x14ac:dyDescent="0.2">
      <c r="A72" s="301"/>
      <c r="B72" s="302" t="s">
        <v>409</v>
      </c>
      <c r="C72" s="300"/>
      <c r="D72" s="294"/>
      <c r="E72" s="300"/>
      <c r="F72" s="294"/>
      <c r="G72" s="271">
        <v>1</v>
      </c>
      <c r="H72" s="277">
        <f t="shared" si="6"/>
        <v>3376.3376879999996</v>
      </c>
      <c r="J72" s="279">
        <f>SUM(ANALÍTICO!O1312:O1383)</f>
        <v>3376.3376879999996</v>
      </c>
      <c r="K72" s="272">
        <f t="shared" si="7"/>
        <v>1</v>
      </c>
    </row>
    <row r="73" spans="1:11" s="278" customFormat="1" ht="12.75" x14ac:dyDescent="0.2">
      <c r="A73" s="526" t="str">
        <f>ANALÍTICO!C1385</f>
        <v>6.9</v>
      </c>
      <c r="B73" s="527" t="str">
        <f>ANALÍTICO!D1385</f>
        <v>PINTURAS</v>
      </c>
      <c r="C73" s="300"/>
      <c r="D73" s="294"/>
      <c r="E73" s="300"/>
      <c r="F73" s="294"/>
      <c r="G73" s="271">
        <v>1</v>
      </c>
      <c r="H73" s="277">
        <f t="shared" si="6"/>
        <v>7742.6156138400002</v>
      </c>
      <c r="J73" s="279">
        <f>ANALÍTICO!O1385</f>
        <v>7742.6156138400002</v>
      </c>
      <c r="K73" s="272">
        <f t="shared" si="7"/>
        <v>1</v>
      </c>
    </row>
    <row r="74" spans="1:11" s="278" customFormat="1" ht="12.75" x14ac:dyDescent="0.2">
      <c r="A74" s="526" t="str">
        <f>ANALÍTICO!C1407</f>
        <v>6.10</v>
      </c>
      <c r="B74" s="527" t="str">
        <f>ANALÍTICO!D1407</f>
        <v>INSTALAÇÕES DE AR CONDICIONADO</v>
      </c>
      <c r="C74" s="594"/>
      <c r="D74" s="296"/>
      <c r="E74" s="594"/>
      <c r="F74" s="296"/>
      <c r="G74" s="271">
        <v>1</v>
      </c>
      <c r="H74" s="277">
        <f t="shared" ref="H74" si="8">G74*J74</f>
        <v>18824.087208000001</v>
      </c>
      <c r="J74" s="279">
        <f>ANALÍTICO!O1407</f>
        <v>18824.087208000001</v>
      </c>
      <c r="K74" s="272">
        <f t="shared" si="7"/>
        <v>1</v>
      </c>
    </row>
    <row r="75" spans="1:11" s="278" customFormat="1" ht="12.75" x14ac:dyDescent="0.2">
      <c r="A75" s="284" t="str">
        <f>ANALÍTICO!C1446</f>
        <v>6.11</v>
      </c>
      <c r="B75" s="285" t="str">
        <f>ANALÍTICO!D1446</f>
        <v>COMUNICAÇÃO VISUAL</v>
      </c>
      <c r="C75" s="309"/>
      <c r="D75" s="306"/>
      <c r="E75" s="309"/>
      <c r="F75" s="306"/>
      <c r="G75" s="276">
        <v>1</v>
      </c>
      <c r="H75" s="283">
        <f t="shared" si="6"/>
        <v>27.296784000000002</v>
      </c>
      <c r="J75" s="279">
        <f>ANALÍTICO!O1446</f>
        <v>27.296784000000002</v>
      </c>
      <c r="K75" s="272">
        <f t="shared" si="7"/>
        <v>1</v>
      </c>
    </row>
    <row r="76" spans="1:11" x14ac:dyDescent="0.25">
      <c r="D76" s="162"/>
      <c r="F76" s="162"/>
      <c r="H76" s="162"/>
      <c r="J76" s="310"/>
      <c r="K76" s="311"/>
    </row>
    <row r="77" spans="1:11" x14ac:dyDescent="0.25">
      <c r="A77" s="303">
        <f>ANALÍTICO!C1452</f>
        <v>7</v>
      </c>
      <c r="B77" s="208" t="str">
        <f>ANALÍTICO!D1452</f>
        <v>INSTALAÇÃO DO GÁS</v>
      </c>
      <c r="C77" s="235"/>
      <c r="D77" s="219"/>
      <c r="E77" s="214"/>
      <c r="F77" s="209"/>
      <c r="G77" s="235"/>
      <c r="H77" s="219"/>
      <c r="J77" s="210">
        <f>ANALÍTICO!O1452</f>
        <v>9486.1263491280006</v>
      </c>
      <c r="K77" s="211"/>
    </row>
    <row r="78" spans="1:11" s="278" customFormat="1" ht="12.75" x14ac:dyDescent="0.2">
      <c r="A78" s="530" t="str">
        <f>ANALÍTICO!C1454</f>
        <v>7.1</v>
      </c>
      <c r="B78" s="531" t="str">
        <f>ANALÍTICO!D1454</f>
        <v>SERVIÇOS INICIAIS</v>
      </c>
      <c r="C78" s="307"/>
      <c r="D78" s="308"/>
      <c r="E78" s="307"/>
      <c r="F78" s="308"/>
      <c r="G78" s="304">
        <v>1</v>
      </c>
      <c r="H78" s="305">
        <f>G78*J78</f>
        <v>1022.256936</v>
      </c>
      <c r="J78" s="279">
        <f>ANALÍTICO!O1454</f>
        <v>1022.256936</v>
      </c>
      <c r="K78" s="272">
        <f>G78+E78+C78</f>
        <v>1</v>
      </c>
    </row>
    <row r="79" spans="1:11" s="278" customFormat="1" ht="12.75" x14ac:dyDescent="0.2">
      <c r="A79" s="301" t="str">
        <f>ANALÍTICO!C1459</f>
        <v>7.2</v>
      </c>
      <c r="B79" s="302" t="str">
        <f>ANALÍTICO!D1459</f>
        <v>DEMOLIÇÕES</v>
      </c>
      <c r="C79" s="300"/>
      <c r="D79" s="294"/>
      <c r="E79" s="300"/>
      <c r="F79" s="294"/>
      <c r="G79" s="271">
        <v>1</v>
      </c>
      <c r="H79" s="277">
        <f t="shared" ref="H79:H81" si="9">G79*J79</f>
        <v>166.77979200000001</v>
      </c>
      <c r="J79" s="279">
        <f>ANALÍTICO!O1459</f>
        <v>166.77979200000001</v>
      </c>
      <c r="K79" s="272">
        <f t="shared" ref="K79:K87" si="10">G79+E79+C79</f>
        <v>1</v>
      </c>
    </row>
    <row r="80" spans="1:11" s="278" customFormat="1" ht="12.75" x14ac:dyDescent="0.2">
      <c r="A80" s="301" t="str">
        <f>ANALÍTICO!C1464</f>
        <v>7.3</v>
      </c>
      <c r="B80" s="302" t="str">
        <f>ANALÍTICO!D1464</f>
        <v>SUPRA-ESTRUTURA</v>
      </c>
      <c r="C80" s="300"/>
      <c r="D80" s="294"/>
      <c r="E80" s="300"/>
      <c r="F80" s="294"/>
      <c r="G80" s="271">
        <v>1</v>
      </c>
      <c r="H80" s="277">
        <f t="shared" si="9"/>
        <v>946.79411248799977</v>
      </c>
      <c r="J80" s="279">
        <f>ANALÍTICO!O1464</f>
        <v>946.79411248799977</v>
      </c>
      <c r="K80" s="272">
        <f t="shared" si="10"/>
        <v>1</v>
      </c>
    </row>
    <row r="81" spans="1:11" s="278" customFormat="1" ht="12.75" x14ac:dyDescent="0.2">
      <c r="A81" s="301" t="str">
        <f>ANALÍTICO!C1563</f>
        <v>7.4</v>
      </c>
      <c r="B81" s="302" t="str">
        <f>ANALÍTICO!D1563</f>
        <v>PAREDES E PAINÉIS</v>
      </c>
      <c r="C81" s="300"/>
      <c r="D81" s="294"/>
      <c r="E81" s="300"/>
      <c r="F81" s="294"/>
      <c r="G81" s="271">
        <v>1</v>
      </c>
      <c r="H81" s="277">
        <f t="shared" si="9"/>
        <v>647.16252480000003</v>
      </c>
      <c r="J81" s="279">
        <f>ANALÍTICO!O1563</f>
        <v>647.16252480000003</v>
      </c>
      <c r="K81" s="272">
        <f t="shared" si="10"/>
        <v>1</v>
      </c>
    </row>
    <row r="82" spans="1:11" s="278" customFormat="1" ht="12.75" x14ac:dyDescent="0.2">
      <c r="A82" s="301" t="str">
        <f>ANALÍTICO!C1574</f>
        <v>7.5</v>
      </c>
      <c r="B82" s="302" t="str">
        <f>ANALÍTICO!D1574</f>
        <v>ESQUADRIAS</v>
      </c>
      <c r="C82" s="300"/>
      <c r="D82" s="294"/>
      <c r="E82" s="300"/>
      <c r="F82" s="294"/>
      <c r="G82" s="271">
        <v>1</v>
      </c>
      <c r="H82" s="277">
        <f t="shared" ref="H82:H87" si="11">G82*J82</f>
        <v>2118.27466224</v>
      </c>
      <c r="J82" s="279">
        <f>ANALÍTICO!O1574</f>
        <v>2118.27466224</v>
      </c>
      <c r="K82" s="272">
        <f t="shared" si="10"/>
        <v>1</v>
      </c>
    </row>
    <row r="83" spans="1:11" s="278" customFormat="1" ht="12.75" x14ac:dyDescent="0.2">
      <c r="A83" s="301" t="str">
        <f>ANALÍTICO!C1592</f>
        <v>7.6</v>
      </c>
      <c r="B83" s="302" t="str">
        <f>ANALÍTICO!D1592</f>
        <v>REVESTIMENTOS</v>
      </c>
      <c r="C83" s="300"/>
      <c r="D83" s="294"/>
      <c r="E83" s="300"/>
      <c r="F83" s="294"/>
      <c r="G83" s="271">
        <v>1</v>
      </c>
      <c r="H83" s="277">
        <f t="shared" si="11"/>
        <v>654.20784000000015</v>
      </c>
      <c r="J83" s="279">
        <f>ANALÍTICO!O1592</f>
        <v>654.20784000000015</v>
      </c>
      <c r="K83" s="272">
        <f t="shared" si="10"/>
        <v>1</v>
      </c>
    </row>
    <row r="84" spans="1:11" s="278" customFormat="1" ht="12.75" x14ac:dyDescent="0.2">
      <c r="A84" s="301" t="str">
        <f>ANALÍTICO!C1604</f>
        <v>7.7</v>
      </c>
      <c r="B84" s="302" t="str">
        <f>ANALÍTICO!D1604</f>
        <v>INSTALAÇÕES DE GÁS</v>
      </c>
      <c r="C84" s="300"/>
      <c r="D84" s="294"/>
      <c r="E84" s="300"/>
      <c r="F84" s="294"/>
      <c r="G84" s="271">
        <v>1</v>
      </c>
      <c r="H84" s="277">
        <f t="shared" si="11"/>
        <v>3340.9840319999998</v>
      </c>
      <c r="J84" s="279">
        <f>ANALÍTICO!O1604</f>
        <v>3340.9840319999998</v>
      </c>
      <c r="K84" s="272">
        <f t="shared" si="10"/>
        <v>1</v>
      </c>
    </row>
    <row r="85" spans="1:11" s="278" customFormat="1" ht="34.5" customHeight="1" x14ac:dyDescent="0.2">
      <c r="A85" s="301" t="str">
        <f>ANALÍTICO!C1622</f>
        <v>7.8</v>
      </c>
      <c r="B85" s="302" t="str">
        <f>ANALÍTICO!D1622</f>
        <v>INSTALAÇÕES DE PREVENÇÃO CONTRA INCÊNDIOS</v>
      </c>
      <c r="C85" s="300"/>
      <c r="D85" s="294"/>
      <c r="E85" s="300"/>
      <c r="F85" s="294"/>
      <c r="G85" s="271">
        <v>1</v>
      </c>
      <c r="H85" s="277">
        <f t="shared" si="11"/>
        <v>348.55502399999995</v>
      </c>
      <c r="J85" s="279">
        <f>ANALÍTICO!O1622</f>
        <v>348.55502399999995</v>
      </c>
      <c r="K85" s="272">
        <f t="shared" si="10"/>
        <v>1</v>
      </c>
    </row>
    <row r="86" spans="1:11" s="278" customFormat="1" ht="12.75" x14ac:dyDescent="0.2">
      <c r="A86" s="301" t="str">
        <f>ANALÍTICO!C1628</f>
        <v>7.9</v>
      </c>
      <c r="B86" s="302" t="str">
        <f>ANALÍTICO!D1628</f>
        <v>PINTURAS</v>
      </c>
      <c r="C86" s="300"/>
      <c r="D86" s="294"/>
      <c r="E86" s="300"/>
      <c r="F86" s="294"/>
      <c r="G86" s="271">
        <v>1</v>
      </c>
      <c r="H86" s="277">
        <f t="shared" si="11"/>
        <v>227.46303360000002</v>
      </c>
      <c r="J86" s="279">
        <f>ANALÍTICO!O1628</f>
        <v>227.46303360000002</v>
      </c>
      <c r="K86" s="272">
        <f t="shared" si="10"/>
        <v>1</v>
      </c>
    </row>
    <row r="87" spans="1:11" s="278" customFormat="1" ht="12.75" x14ac:dyDescent="0.2">
      <c r="A87" s="301" t="str">
        <f>ANALÍTICO!C1635</f>
        <v>7.10</v>
      </c>
      <c r="B87" s="302" t="str">
        <f>ANALÍTICO!D1635</f>
        <v>COMUNICAÇÃO VISUAL</v>
      </c>
      <c r="C87" s="300"/>
      <c r="D87" s="294"/>
      <c r="E87" s="300"/>
      <c r="F87" s="294"/>
      <c r="G87" s="271">
        <v>1</v>
      </c>
      <c r="H87" s="277">
        <f t="shared" si="11"/>
        <v>13.648392000000001</v>
      </c>
      <c r="J87" s="279">
        <f>ANALÍTICO!O1635</f>
        <v>13.648392000000001</v>
      </c>
      <c r="K87" s="272">
        <f t="shared" si="10"/>
        <v>1</v>
      </c>
    </row>
    <row r="88" spans="1:11" ht="45" x14ac:dyDescent="0.25">
      <c r="A88" s="303">
        <f>ANALÍTICO!C1641</f>
        <v>8</v>
      </c>
      <c r="B88" s="208" t="str">
        <f>ANALÍTICO!D1641</f>
        <v xml:space="preserve">SUBSTITUIÇÃO DE PORTAS - PLENÁRIO, GABINETE VICE PRESIDÊNCIA  E ENFERMAGEM </v>
      </c>
      <c r="C88" s="235"/>
      <c r="D88" s="219"/>
      <c r="E88" s="214"/>
      <c r="F88" s="209"/>
      <c r="G88" s="235"/>
      <c r="H88" s="219"/>
      <c r="J88" s="210">
        <f>J89</f>
        <v>9306.8959449600025</v>
      </c>
      <c r="K88" s="211"/>
    </row>
    <row r="89" spans="1:11" s="278" customFormat="1" ht="24" x14ac:dyDescent="0.2">
      <c r="A89" s="530">
        <f>A88</f>
        <v>8</v>
      </c>
      <c r="B89" s="531" t="str">
        <f>B88</f>
        <v xml:space="preserve">SUBSTITUIÇÃO DE PORTAS - PLENÁRIO, GABINETE VICE PRESIDÊNCIA  E ENFERMAGEM </v>
      </c>
      <c r="C89" s="307"/>
      <c r="D89" s="308"/>
      <c r="E89" s="307"/>
      <c r="F89" s="308"/>
      <c r="G89" s="304">
        <v>1</v>
      </c>
      <c r="H89" s="305">
        <f>G89*J89</f>
        <v>9306.8959449600025</v>
      </c>
      <c r="J89" s="279">
        <f>ANALÍTICO!O1641</f>
        <v>9306.8959449600025</v>
      </c>
      <c r="K89" s="272">
        <f>G89+E89+C89</f>
        <v>1</v>
      </c>
    </row>
    <row r="90" spans="1:11" ht="30" x14ac:dyDescent="0.25">
      <c r="A90" s="303">
        <f>ANALÍTICO!C1710</f>
        <v>9</v>
      </c>
      <c r="B90" s="208" t="str">
        <f>ANALÍTICO!D1710</f>
        <v>PINTURA EM CORREDORES E GABINETES - TORRE DO EDIFÍCIO RIO BRANCO</v>
      </c>
      <c r="C90" s="235"/>
      <c r="D90" s="219"/>
      <c r="E90" s="214"/>
      <c r="F90" s="209"/>
      <c r="G90" s="235"/>
      <c r="H90" s="219"/>
      <c r="J90" s="210">
        <f>ANALÍTICO!O1710</f>
        <v>30777.245067239994</v>
      </c>
      <c r="K90" s="211"/>
    </row>
    <row r="91" spans="1:11" s="278" customFormat="1" ht="12.75" x14ac:dyDescent="0.2">
      <c r="A91" s="530"/>
      <c r="B91" s="531" t="str">
        <f>ANALÍTICO!D1714</f>
        <v>PINTURAS CORREDORES</v>
      </c>
      <c r="C91" s="304">
        <v>1</v>
      </c>
      <c r="D91" s="305">
        <f>C91*$J91</f>
        <v>19956.437965799993</v>
      </c>
      <c r="E91" s="307"/>
      <c r="F91" s="308"/>
      <c r="G91" s="307"/>
      <c r="H91" s="308"/>
      <c r="J91" s="279">
        <f>SUM(ANALÍTICO!O1716:O1726)</f>
        <v>19956.437965799993</v>
      </c>
      <c r="K91" s="272">
        <f>G91+E91+C91</f>
        <v>1</v>
      </c>
    </row>
    <row r="92" spans="1:11" s="278" customFormat="1" ht="12.75" x14ac:dyDescent="0.2">
      <c r="A92" s="532"/>
      <c r="B92" s="533" t="str">
        <f>ANALÍTICO!D1730</f>
        <v>PINTURAS GABINETES</v>
      </c>
      <c r="C92" s="276">
        <v>1</v>
      </c>
      <c r="D92" s="283">
        <f>C92*$J92</f>
        <v>10820.807101439999</v>
      </c>
      <c r="E92" s="309"/>
      <c r="F92" s="306"/>
      <c r="G92" s="309"/>
      <c r="H92" s="306"/>
      <c r="J92" s="279">
        <f>ANALÍTICO!O1732</f>
        <v>10820.807101439999</v>
      </c>
      <c r="K92" s="272">
        <f t="shared" ref="K92" si="12">G92+E92+C92</f>
        <v>1</v>
      </c>
    </row>
    <row r="93" spans="1:11" ht="45" x14ac:dyDescent="0.25">
      <c r="A93" s="303">
        <f>ANALÍTICO!C1737</f>
        <v>10</v>
      </c>
      <c r="B93" s="208" t="str">
        <f>ANALÍTICO!D1737</f>
        <v>APLICAÇÃO DE AZULEJO E PINTURA DAS COPAS - TORRE DO EDIFÍCIO RIO BRANCO</v>
      </c>
      <c r="C93" s="235"/>
      <c r="D93" s="219"/>
      <c r="E93" s="214"/>
      <c r="F93" s="209"/>
      <c r="G93" s="235"/>
      <c r="H93" s="219"/>
      <c r="J93" s="210">
        <f>ANALÍTICO!O1737</f>
        <v>9274.2074107200006</v>
      </c>
      <c r="K93" s="211"/>
    </row>
    <row r="94" spans="1:11" s="278" customFormat="1" ht="24" x14ac:dyDescent="0.2">
      <c r="A94" s="530"/>
      <c r="B94" s="531" t="s">
        <v>1027</v>
      </c>
      <c r="C94" s="304">
        <v>1</v>
      </c>
      <c r="D94" s="305">
        <f>C94*$J94</f>
        <v>3709.6829642880002</v>
      </c>
      <c r="E94" s="307"/>
      <c r="F94" s="308"/>
      <c r="G94" s="307"/>
      <c r="H94" s="308"/>
      <c r="J94" s="279">
        <f>ANALÍTICO!O1737*0.4</f>
        <v>3709.6829642880002</v>
      </c>
      <c r="K94" s="272">
        <f>G94+E94+C94</f>
        <v>1</v>
      </c>
    </row>
    <row r="95" spans="1:11" s="278" customFormat="1" ht="24" x14ac:dyDescent="0.2">
      <c r="A95" s="532"/>
      <c r="B95" s="602" t="s">
        <v>1028</v>
      </c>
      <c r="C95" s="309"/>
      <c r="D95" s="306"/>
      <c r="E95" s="603">
        <v>1</v>
      </c>
      <c r="F95" s="604">
        <f>E95*$J95</f>
        <v>5564.5244464320003</v>
      </c>
      <c r="G95" s="309"/>
      <c r="H95" s="306"/>
      <c r="J95" s="605">
        <f>ANALÍTICO!O1737*0.6</f>
        <v>5564.5244464320003</v>
      </c>
      <c r="K95" s="606">
        <f t="shared" ref="K95" si="13">G95+E95+C95</f>
        <v>1</v>
      </c>
    </row>
    <row r="96" spans="1:11" ht="30" x14ac:dyDescent="0.25">
      <c r="A96" s="303">
        <f>RESUMO!A44</f>
        <v>11</v>
      </c>
      <c r="B96" s="208" t="str">
        <f>RESUMO!B44</f>
        <v>ADEQUAÇÃO DO PAINEL DE VIDRO - PLENÁRIO II</v>
      </c>
      <c r="C96" s="235"/>
      <c r="D96" s="219"/>
      <c r="E96" s="214"/>
      <c r="F96" s="209"/>
      <c r="G96" s="235"/>
      <c r="H96" s="219"/>
      <c r="J96" s="210">
        <f>J97</f>
        <v>1327.4821278000002</v>
      </c>
      <c r="K96" s="211"/>
    </row>
    <row r="97" spans="1:11" s="278" customFormat="1" ht="24" x14ac:dyDescent="0.2">
      <c r="A97" s="530"/>
      <c r="B97" s="531" t="str">
        <f>B96</f>
        <v>ADEQUAÇÃO DO PAINEL DE VIDRO - PLENÁRIO II</v>
      </c>
      <c r="C97" s="616"/>
      <c r="D97" s="617"/>
      <c r="E97" s="616"/>
      <c r="F97" s="617"/>
      <c r="G97" s="598">
        <v>1</v>
      </c>
      <c r="H97" s="599">
        <f>G97*J97</f>
        <v>1327.4821278000002</v>
      </c>
      <c r="J97" s="279">
        <f>ANALÍTICO!O1755</f>
        <v>1327.4821278000002</v>
      </c>
      <c r="K97" s="272">
        <f>G97+E97+C97</f>
        <v>1</v>
      </c>
    </row>
    <row r="98" spans="1:11" x14ac:dyDescent="0.25">
      <c r="A98" s="303">
        <f>RESUMO!A45</f>
        <v>12</v>
      </c>
      <c r="B98" s="208" t="str">
        <f>RESUMO!B45</f>
        <v>ELEVATÓRIA DE ESGOTO</v>
      </c>
      <c r="C98" s="235"/>
      <c r="D98" s="219"/>
      <c r="E98" s="214"/>
      <c r="F98" s="209"/>
      <c r="G98" s="235"/>
      <c r="H98" s="219"/>
      <c r="J98" s="210">
        <f>RESUMO!C45</f>
        <v>23769.298376640007</v>
      </c>
      <c r="K98" s="211"/>
    </row>
    <row r="99" spans="1:11" s="278" customFormat="1" ht="12.75" x14ac:dyDescent="0.2">
      <c r="A99" s="530"/>
      <c r="B99" s="531" t="str">
        <f>B98</f>
        <v>ELEVATÓRIA DE ESGOTO</v>
      </c>
      <c r="C99" s="616"/>
      <c r="D99" s="617"/>
      <c r="E99" s="616"/>
      <c r="F99" s="617"/>
      <c r="G99" s="598">
        <v>1</v>
      </c>
      <c r="H99" s="599">
        <f>G99*J99</f>
        <v>23769.298376640007</v>
      </c>
      <c r="J99" s="279">
        <f>J98</f>
        <v>23769.298376640007</v>
      </c>
      <c r="K99" s="272">
        <f>G99+E99+C99</f>
        <v>1</v>
      </c>
    </row>
    <row r="100" spans="1:11" ht="30" x14ac:dyDescent="0.25">
      <c r="A100" s="303">
        <f>RESUMO!A46</f>
        <v>13</v>
      </c>
      <c r="B100" s="208" t="str">
        <f>RESUMO!B46</f>
        <v xml:space="preserve"> ELÉTRICA VESTIÁRIOS DOS MOTORISTAS</v>
      </c>
      <c r="C100" s="235"/>
      <c r="D100" s="219"/>
      <c r="E100" s="214"/>
      <c r="F100" s="209"/>
      <c r="G100" s="235"/>
      <c r="H100" s="219"/>
      <c r="J100" s="210">
        <f>RESUMO!C46</f>
        <v>17358.47</v>
      </c>
      <c r="K100" s="211"/>
    </row>
    <row r="101" spans="1:11" s="278" customFormat="1" ht="12.75" x14ac:dyDescent="0.2">
      <c r="A101" s="530"/>
      <c r="B101" s="531" t="str">
        <f>B100</f>
        <v xml:space="preserve"> ELÉTRICA VESTIÁRIOS DOS MOTORISTAS</v>
      </c>
      <c r="C101" s="616"/>
      <c r="D101" s="617"/>
      <c r="E101" s="616"/>
      <c r="F101" s="617"/>
      <c r="G101" s="598">
        <v>1</v>
      </c>
      <c r="H101" s="599">
        <f>G101*J101</f>
        <v>17358.47</v>
      </c>
      <c r="J101" s="279">
        <f>J100</f>
        <v>17358.47</v>
      </c>
      <c r="K101" s="272">
        <f>G101+E101+C101</f>
        <v>1</v>
      </c>
    </row>
    <row r="102" spans="1:11" ht="30" customHeight="1" x14ac:dyDescent="0.25">
      <c r="A102" s="303">
        <f>RESUMO!A47</f>
        <v>14</v>
      </c>
      <c r="B102" s="290" t="str">
        <f>RESUMO!B47</f>
        <v>ELÉTRICA - COPA TERREO CASARÃO - COPA SOBRE LOJA</v>
      </c>
      <c r="C102" s="235"/>
      <c r="D102" s="219"/>
      <c r="E102" s="214"/>
      <c r="F102" s="209"/>
      <c r="G102" s="235"/>
      <c r="H102" s="219"/>
      <c r="J102" s="210">
        <f>RESUMO!C47</f>
        <v>23514.6</v>
      </c>
      <c r="K102" s="299"/>
    </row>
    <row r="103" spans="1:11" s="278" customFormat="1" ht="37.5" customHeight="1" x14ac:dyDescent="0.2">
      <c r="A103" s="301"/>
      <c r="B103" s="302" t="str">
        <f>B102</f>
        <v>ELÉTRICA - COPA TERREO CASARÃO - COPA SOBRE LOJA</v>
      </c>
      <c r="C103" s="616"/>
      <c r="D103" s="617"/>
      <c r="E103" s="603">
        <v>0.95</v>
      </c>
      <c r="F103" s="604">
        <f>E103*$J103</f>
        <v>22338.87</v>
      </c>
      <c r="G103" s="598">
        <v>0.05</v>
      </c>
      <c r="H103" s="599">
        <f>G103*J103</f>
        <v>1175.73</v>
      </c>
      <c r="J103" s="279">
        <f>J102</f>
        <v>23514.6</v>
      </c>
      <c r="K103" s="272">
        <f>G103+E103+C103</f>
        <v>1</v>
      </c>
    </row>
    <row r="104" spans="1:11" ht="30" customHeight="1" x14ac:dyDescent="0.25">
      <c r="A104" s="303">
        <f>RESUMO!A48</f>
        <v>15</v>
      </c>
      <c r="B104" s="290" t="str">
        <f>RESUMO!B48</f>
        <v>ELÉTRICA GABINETE SALA DE PERICIAS - 2º PISO CASARÃO</v>
      </c>
      <c r="C104" s="235"/>
      <c r="D104" s="219"/>
      <c r="E104" s="214"/>
      <c r="F104" s="209"/>
      <c r="G104" s="235"/>
      <c r="H104" s="219"/>
      <c r="J104" s="210">
        <f>RESUMO!C48</f>
        <v>20084.870000000003</v>
      </c>
      <c r="K104" s="299"/>
    </row>
    <row r="105" spans="1:11" s="278" customFormat="1" ht="37.5" customHeight="1" thickBot="1" x14ac:dyDescent="0.25">
      <c r="A105" s="532"/>
      <c r="B105" s="533" t="str">
        <f>B104</f>
        <v>ELÉTRICA GABINETE SALA DE PERICIAS - 2º PISO CASARÃO</v>
      </c>
      <c r="C105" s="616"/>
      <c r="D105" s="617"/>
      <c r="E105" s="598">
        <v>1</v>
      </c>
      <c r="F105" s="599">
        <f>E105*$J105</f>
        <v>20084.870000000003</v>
      </c>
      <c r="G105" s="616"/>
      <c r="H105" s="617"/>
      <c r="J105" s="279">
        <f>J104</f>
        <v>20084.870000000003</v>
      </c>
      <c r="K105" s="272">
        <f>G105+E105+C105</f>
        <v>1</v>
      </c>
    </row>
    <row r="106" spans="1:11" s="37" customFormat="1" ht="19.5" thickBot="1" x14ac:dyDescent="0.35">
      <c r="A106" s="159"/>
      <c r="B106" s="160"/>
      <c r="C106" s="600">
        <f>D106/J106</f>
        <v>0.20682363843865795</v>
      </c>
      <c r="D106" s="601">
        <f>SUM(D13:D105)</f>
        <v>91803.129397466008</v>
      </c>
      <c r="E106" s="600">
        <f>F106/J106</f>
        <v>0.4363813173545118</v>
      </c>
      <c r="F106" s="601">
        <f>SUM(F13:F105)</f>
        <v>193697.25262625003</v>
      </c>
      <c r="G106" s="600">
        <f>H106/J106</f>
        <v>0.35679504420683106</v>
      </c>
      <c r="H106" s="601">
        <f>SUM(H13:H105)</f>
        <v>158371.17004113205</v>
      </c>
      <c r="J106" s="607">
        <f>SUM(J12:J105)/2</f>
        <v>443871.55206484772</v>
      </c>
      <c r="K106" s="608">
        <f>J106/RESUMO!C50</f>
        <v>0.99999999999999933</v>
      </c>
    </row>
    <row r="108" spans="1:11" x14ac:dyDescent="0.25">
      <c r="H108" s="75"/>
    </row>
    <row r="109" spans="1:11" x14ac:dyDescent="0.25">
      <c r="G109" s="758"/>
      <c r="H109" s="75"/>
    </row>
    <row r="110" spans="1:11" x14ac:dyDescent="0.25">
      <c r="H110" s="75"/>
    </row>
  </sheetData>
  <customSheetViews>
    <customSheetView guid="{64A379BA-3141-462E-A550-7507503698AB}" fitToPage="1" topLeftCell="A16">
      <pane xSplit="2" topLeftCell="L1" activePane="topRight" state="frozen"/>
      <selection pane="topRight" activeCell="W22" sqref="W22"/>
      <pageMargins left="0.51181102362204722" right="0.51181102362204722" top="0.78740157480314965" bottom="0.78740157480314965" header="0.31496062992125984" footer="0.31496062992125984"/>
      <pageSetup paperSize="9" scale="56" fitToHeight="20" orientation="landscape" r:id="rId1"/>
    </customSheetView>
    <customSheetView guid="{085E57EC-FCE4-472B-96BD-85A48C0D7EC5}" fitToPage="1" showRuler="0" topLeftCell="A16">
      <pane xSplit="2" topLeftCell="L1" activePane="topRight" state="frozen"/>
      <selection pane="topRight" activeCell="W22" sqref="W22"/>
      <pageMargins left="0.51181102362204722" right="0.51181102362204722" top="0.78740157480314965" bottom="0.78740157480314965" header="0.31496062992125984" footer="0.31496062992125984"/>
      <pageSetup paperSize="9" scale="56" fitToHeight="20" orientation="landscape" r:id="rId2"/>
      <headerFooter alignWithMargins="0"/>
    </customSheetView>
    <customSheetView guid="{DD765DCE-E655-456A-9D24-4450FE20736A}" showPageBreaks="1" fitToPage="1" printArea="1" topLeftCell="A127">
      <pane xSplit="2" topLeftCell="N1" activePane="topRight" state="frozen"/>
      <selection pane="topRight" activeCell="Z141" sqref="Z141"/>
      <pageMargins left="0.51181102362204722" right="0.51181102362204722" top="0.78740157480314965" bottom="0.78740157480314965" header="0.31496062992125984" footer="0.31496062992125984"/>
      <pageSetup paperSize="9" scale="55" fitToHeight="20" orientation="landscape" r:id="rId3"/>
    </customSheetView>
    <customSheetView guid="{A9E6D264-7B9C-4375-A0CF-466470785BB4}" showPageBreaks="1" fitToPage="1" printArea="1">
      <pane xSplit="2" topLeftCell="N1" activePane="topRight" state="frozen"/>
      <selection pane="topRight" activeCell="O130" sqref="O130:P131"/>
      <pageMargins left="0.51181102362204722" right="0.51181102362204722" top="0.78740157480314965" bottom="0.78740157480314965" header="0.31496062992125984" footer="0.31496062992125984"/>
      <pageSetup paperSize="9" scale="55" fitToHeight="20" orientation="landscape" r:id="rId4"/>
    </customSheetView>
  </customSheetViews>
  <mergeCells count="4">
    <mergeCell ref="A1:K6"/>
    <mergeCell ref="C10:D10"/>
    <mergeCell ref="E10:F10"/>
    <mergeCell ref="G10:H10"/>
  </mergeCells>
  <phoneticPr fontId="0" type="noConversion"/>
  <pageMargins left="0.51181102362204722" right="0.51181102362204722" top="0.78740157480314965" bottom="0.78740157480314965" header="0.31496062992125984" footer="0.31496062992125984"/>
  <pageSetup paperSize="9" scale="67" fitToHeight="20" orientation="portrait"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32"/>
  <sheetViews>
    <sheetView zoomScale="85" zoomScaleNormal="85" workbookViewId="0">
      <selection activeCell="L9" sqref="L9"/>
    </sheetView>
  </sheetViews>
  <sheetFormatPr defaultRowHeight="15" x14ac:dyDescent="0.25"/>
  <cols>
    <col min="1" max="1" width="10" bestFit="1" customWidth="1"/>
    <col min="2" max="2" width="12.28515625" bestFit="1" customWidth="1"/>
    <col min="3" max="3" width="6.85546875" bestFit="1" customWidth="1"/>
    <col min="4" max="4" width="69" customWidth="1"/>
    <col min="5" max="5" width="5.140625" bestFit="1" customWidth="1"/>
    <col min="6" max="6" width="8" customWidth="1"/>
    <col min="7" max="7" width="9.5703125" customWidth="1"/>
    <col min="8" max="8" width="10.5703125" style="696" customWidth="1"/>
    <col min="11" max="11" width="8.7109375" customWidth="1"/>
    <col min="12" max="13" width="10" bestFit="1" customWidth="1"/>
    <col min="14" max="14" width="11" bestFit="1" customWidth="1"/>
    <col min="15" max="15" width="10" bestFit="1" customWidth="1"/>
    <col min="16" max="16" width="16.140625" customWidth="1"/>
  </cols>
  <sheetData>
    <row r="1" spans="1:16" ht="15.75" x14ac:dyDescent="0.25">
      <c r="A1" s="832" t="s">
        <v>1153</v>
      </c>
      <c r="B1" s="833"/>
      <c r="C1" s="833"/>
      <c r="D1" s="833"/>
      <c r="E1" s="833"/>
      <c r="F1" s="833"/>
      <c r="G1" s="833"/>
      <c r="H1" s="833"/>
      <c r="I1" s="833"/>
      <c r="J1" s="833"/>
      <c r="K1" s="833"/>
      <c r="L1" s="833"/>
      <c r="M1" s="833"/>
      <c r="N1" s="833"/>
      <c r="O1" s="833"/>
      <c r="P1" s="834"/>
    </row>
    <row r="2" spans="1:16" ht="15.75" x14ac:dyDescent="0.25">
      <c r="A2" s="835" t="s">
        <v>1154</v>
      </c>
      <c r="B2" s="836"/>
      <c r="C2" s="836"/>
      <c r="D2" s="836"/>
      <c r="E2" s="836"/>
      <c r="F2" s="836"/>
      <c r="G2" s="836"/>
      <c r="H2" s="836"/>
      <c r="I2" s="836"/>
      <c r="J2" s="836"/>
      <c r="K2" s="836"/>
      <c r="L2" s="836"/>
      <c r="M2" s="836"/>
      <c r="N2" s="836"/>
      <c r="O2" s="836"/>
      <c r="P2" s="837"/>
    </row>
    <row r="3" spans="1:16" ht="15.75" x14ac:dyDescent="0.25">
      <c r="A3" s="835" t="s">
        <v>1155</v>
      </c>
      <c r="B3" s="836"/>
      <c r="C3" s="836"/>
      <c r="D3" s="836"/>
      <c r="E3" s="836"/>
      <c r="F3" s="836"/>
      <c r="G3" s="836"/>
      <c r="H3" s="836"/>
      <c r="I3" s="836"/>
      <c r="J3" s="836"/>
      <c r="K3" s="836"/>
      <c r="L3" s="836"/>
      <c r="M3" s="836"/>
      <c r="N3" s="836"/>
      <c r="O3" s="836"/>
      <c r="P3" s="837"/>
    </row>
    <row r="4" spans="1:16" ht="15.75" x14ac:dyDescent="0.25">
      <c r="A4" s="631" t="s">
        <v>66</v>
      </c>
      <c r="B4" s="838" t="s">
        <v>1303</v>
      </c>
      <c r="C4" s="838"/>
      <c r="D4" s="838"/>
      <c r="E4" s="838"/>
      <c r="F4" s="838"/>
      <c r="G4" s="838"/>
      <c r="H4" s="838"/>
      <c r="I4" s="838"/>
      <c r="J4" s="838"/>
      <c r="K4" s="838"/>
      <c r="L4" s="838"/>
      <c r="M4" s="838"/>
      <c r="N4" s="838"/>
      <c r="O4" s="632" t="s">
        <v>1156</v>
      </c>
      <c r="P4" s="633">
        <v>0.27079999999999999</v>
      </c>
    </row>
    <row r="5" spans="1:16" ht="15.75" x14ac:dyDescent="0.25">
      <c r="A5" s="634" t="s">
        <v>69</v>
      </c>
      <c r="B5" s="839" t="s">
        <v>1157</v>
      </c>
      <c r="C5" s="839"/>
      <c r="D5" s="839"/>
      <c r="E5" s="839"/>
      <c r="F5" s="839"/>
      <c r="G5" s="839"/>
      <c r="H5" s="839"/>
      <c r="I5" s="839"/>
      <c r="J5" s="839"/>
      <c r="K5" s="839"/>
      <c r="L5" s="839"/>
      <c r="M5" s="839"/>
      <c r="N5" s="839"/>
      <c r="O5" s="635" t="s">
        <v>1158</v>
      </c>
      <c r="P5" s="633">
        <v>0.14019999999999999</v>
      </c>
    </row>
    <row r="6" spans="1:16" ht="15.75" x14ac:dyDescent="0.25">
      <c r="A6" s="636" t="s">
        <v>65</v>
      </c>
      <c r="B6" s="830">
        <v>41852</v>
      </c>
      <c r="C6" s="831"/>
      <c r="D6" s="831"/>
      <c r="E6" s="831"/>
      <c r="F6" s="831"/>
      <c r="G6" s="831"/>
      <c r="H6" s="831"/>
      <c r="I6" s="831"/>
      <c r="J6" s="831"/>
      <c r="K6" s="831"/>
      <c r="L6" s="831"/>
      <c r="M6" s="831"/>
      <c r="N6" s="831"/>
      <c r="O6" s="637"/>
      <c r="P6" s="638"/>
    </row>
    <row r="7" spans="1:16" x14ac:dyDescent="0.25">
      <c r="H7"/>
    </row>
    <row r="8" spans="1:16" ht="15" customHeight="1" x14ac:dyDescent="0.25">
      <c r="A8" s="825" t="s">
        <v>1159</v>
      </c>
      <c r="B8" s="825" t="s">
        <v>1160</v>
      </c>
      <c r="C8" s="825" t="s">
        <v>1161</v>
      </c>
      <c r="D8" s="825" t="s">
        <v>1162</v>
      </c>
      <c r="E8" s="825" t="s">
        <v>1163</v>
      </c>
      <c r="F8" s="825" t="s">
        <v>1164</v>
      </c>
      <c r="G8" s="827" t="s">
        <v>1165</v>
      </c>
      <c r="H8" s="827" t="s">
        <v>1166</v>
      </c>
      <c r="I8" s="829" t="s">
        <v>1453</v>
      </c>
      <c r="J8" s="829"/>
      <c r="K8" s="829"/>
      <c r="L8" s="829" t="s">
        <v>1454</v>
      </c>
      <c r="M8" s="829"/>
      <c r="N8" s="829"/>
      <c r="O8" s="825" t="s">
        <v>1156</v>
      </c>
      <c r="P8" s="825" t="s">
        <v>1446</v>
      </c>
    </row>
    <row r="9" spans="1:16" ht="24" x14ac:dyDescent="0.25">
      <c r="A9" s="826"/>
      <c r="B9" s="826"/>
      <c r="C9" s="826"/>
      <c r="D9" s="826"/>
      <c r="E9" s="826"/>
      <c r="F9" s="826"/>
      <c r="G9" s="828"/>
      <c r="H9" s="828"/>
      <c r="I9" s="738" t="s">
        <v>1167</v>
      </c>
      <c r="J9" s="738" t="s">
        <v>1168</v>
      </c>
      <c r="K9" s="738" t="s">
        <v>1169</v>
      </c>
      <c r="L9" s="738" t="s">
        <v>1167</v>
      </c>
      <c r="M9" s="738" t="s">
        <v>1168</v>
      </c>
      <c r="N9" s="738" t="s">
        <v>1169</v>
      </c>
      <c r="O9" s="826"/>
      <c r="P9" s="826"/>
    </row>
    <row r="10" spans="1:16" x14ac:dyDescent="0.25">
      <c r="H10"/>
    </row>
    <row r="11" spans="1:16" s="643" customFormat="1" ht="12" x14ac:dyDescent="0.25">
      <c r="A11" s="640"/>
      <c r="B11" s="640"/>
      <c r="C11" s="640">
        <v>12</v>
      </c>
      <c r="D11" s="641" t="s">
        <v>1170</v>
      </c>
      <c r="E11" s="640"/>
      <c r="F11" s="641"/>
      <c r="G11" s="739"/>
      <c r="H11" s="739"/>
      <c r="I11" s="739"/>
      <c r="J11" s="739"/>
      <c r="K11" s="739"/>
      <c r="L11" s="739"/>
      <c r="M11" s="739"/>
      <c r="N11" s="739"/>
      <c r="O11" s="739"/>
      <c r="P11" s="739"/>
    </row>
    <row r="12" spans="1:16" x14ac:dyDescent="0.25">
      <c r="H12"/>
    </row>
    <row r="13" spans="1:16" s="648" customFormat="1" ht="12" x14ac:dyDescent="0.25">
      <c r="A13" s="644"/>
      <c r="B13" s="644"/>
      <c r="C13" s="640"/>
      <c r="D13" s="645" t="s">
        <v>1171</v>
      </c>
      <c r="E13" s="644"/>
      <c r="F13" s="646"/>
      <c r="G13" s="740"/>
      <c r="H13" s="740"/>
      <c r="I13" s="740"/>
      <c r="J13" s="740"/>
      <c r="K13" s="740"/>
      <c r="L13" s="740"/>
      <c r="M13" s="740"/>
      <c r="N13" s="740"/>
      <c r="O13" s="740"/>
      <c r="P13" s="739"/>
    </row>
    <row r="14" spans="1:16" s="648" customFormat="1" ht="12" x14ac:dyDescent="0.25">
      <c r="A14" s="649"/>
      <c r="B14" s="649"/>
      <c r="C14" s="649"/>
      <c r="D14" s="650"/>
      <c r="E14" s="649"/>
      <c r="F14" s="651"/>
      <c r="G14" s="741"/>
      <c r="H14" s="741"/>
      <c r="I14" s="741"/>
      <c r="J14" s="741"/>
      <c r="K14" s="741"/>
      <c r="L14" s="741"/>
      <c r="M14" s="741"/>
      <c r="N14" s="741"/>
      <c r="O14" s="741"/>
      <c r="P14" s="741"/>
    </row>
    <row r="15" spans="1:16" s="648" customFormat="1" ht="12" x14ac:dyDescent="0.25">
      <c r="A15" s="649"/>
      <c r="B15" s="649"/>
      <c r="C15" s="649"/>
      <c r="D15" s="653" t="s">
        <v>1172</v>
      </c>
      <c r="E15" s="649"/>
      <c r="F15" s="651"/>
      <c r="G15" s="741"/>
      <c r="H15" s="741"/>
      <c r="I15" s="741"/>
      <c r="J15" s="741"/>
      <c r="K15" s="741"/>
      <c r="L15" s="741"/>
      <c r="M15" s="741"/>
      <c r="N15" s="741"/>
      <c r="O15" s="741"/>
      <c r="P15" s="741"/>
    </row>
    <row r="16" spans="1:16" s="648" customFormat="1" ht="12" x14ac:dyDescent="0.25">
      <c r="A16" s="649"/>
      <c r="B16" s="649"/>
      <c r="C16" s="649"/>
      <c r="D16" s="650"/>
      <c r="E16" s="649"/>
      <c r="F16" s="651"/>
      <c r="G16" s="741"/>
      <c r="H16" s="741"/>
      <c r="I16" s="741"/>
      <c r="J16" s="741"/>
      <c r="K16" s="741"/>
      <c r="L16" s="741"/>
      <c r="M16" s="741"/>
      <c r="N16" s="741"/>
      <c r="O16" s="741"/>
      <c r="P16" s="741"/>
    </row>
    <row r="17" spans="1:16" s="648" customFormat="1" ht="12" x14ac:dyDescent="0.25">
      <c r="A17" s="644"/>
      <c r="B17" s="644"/>
      <c r="C17" s="644" t="s">
        <v>1310</v>
      </c>
      <c r="D17" s="654" t="s">
        <v>1173</v>
      </c>
      <c r="E17" s="644" t="s">
        <v>57</v>
      </c>
      <c r="F17" s="646"/>
      <c r="G17" s="740"/>
      <c r="H17" s="740">
        <v>16</v>
      </c>
      <c r="I17" s="740">
        <f>SUM(I18:I20)</f>
        <v>3.51</v>
      </c>
      <c r="J17" s="740">
        <f>SUM(J18:J20)</f>
        <v>3.41</v>
      </c>
      <c r="K17" s="740">
        <f>I17+J17</f>
        <v>6.92</v>
      </c>
      <c r="L17" s="740">
        <f>ROUND(H17*I17,2)</f>
        <v>56.16</v>
      </c>
      <c r="M17" s="740">
        <f>ROUND(H17*J17,2)</f>
        <v>54.56</v>
      </c>
      <c r="N17" s="740">
        <f>L17+M17</f>
        <v>110.72</v>
      </c>
      <c r="O17" s="740">
        <f>ROUND(N17*$P$4,2)</f>
        <v>29.98</v>
      </c>
      <c r="P17" s="740">
        <f>N17+O17</f>
        <v>140.69999999999999</v>
      </c>
    </row>
    <row r="18" spans="1:16" s="648" customFormat="1" ht="12" x14ac:dyDescent="0.25">
      <c r="A18" s="649" t="s">
        <v>1142</v>
      </c>
      <c r="B18" s="655" t="s">
        <v>1174</v>
      </c>
      <c r="C18" s="649"/>
      <c r="D18" s="650" t="s">
        <v>1173</v>
      </c>
      <c r="E18" s="649" t="s">
        <v>57</v>
      </c>
      <c r="F18" s="651">
        <v>1</v>
      </c>
      <c r="G18" s="742">
        <v>3.51</v>
      </c>
      <c r="H18" s="657"/>
      <c r="I18" s="742">
        <f>ROUND(F18*G18,2)</f>
        <v>3.51</v>
      </c>
      <c r="J18" s="741"/>
      <c r="K18" s="741">
        <f t="shared" ref="K18:K20" si="0">I18+J18</f>
        <v>3.51</v>
      </c>
      <c r="L18" s="741"/>
      <c r="M18" s="741"/>
      <c r="N18" s="741"/>
      <c r="O18" s="741"/>
      <c r="P18" s="741"/>
    </row>
    <row r="19" spans="1:16" s="648" customFormat="1" ht="12" x14ac:dyDescent="0.25">
      <c r="A19" s="649" t="s">
        <v>78</v>
      </c>
      <c r="B19" s="649">
        <v>2436</v>
      </c>
      <c r="C19" s="649"/>
      <c r="D19" s="650" t="s">
        <v>239</v>
      </c>
      <c r="E19" s="649" t="s">
        <v>42</v>
      </c>
      <c r="F19" s="651">
        <v>0.15</v>
      </c>
      <c r="G19" s="741">
        <v>13.2</v>
      </c>
      <c r="H19" s="657"/>
      <c r="I19" s="741"/>
      <c r="J19" s="741">
        <f t="shared" ref="J19:J20" si="1">ROUND(F19*G19,2)</f>
        <v>1.98</v>
      </c>
      <c r="K19" s="741">
        <f t="shared" si="0"/>
        <v>1.98</v>
      </c>
      <c r="L19" s="741"/>
      <c r="M19" s="741"/>
      <c r="N19" s="741"/>
      <c r="O19" s="741"/>
      <c r="P19" s="741"/>
    </row>
    <row r="20" spans="1:16" s="648" customFormat="1" ht="12" x14ac:dyDescent="0.25">
      <c r="A20" s="649" t="s">
        <v>78</v>
      </c>
      <c r="B20" s="649">
        <v>247</v>
      </c>
      <c r="C20" s="649"/>
      <c r="D20" s="650" t="s">
        <v>1175</v>
      </c>
      <c r="E20" s="649" t="s">
        <v>42</v>
      </c>
      <c r="F20" s="651">
        <v>0.15</v>
      </c>
      <c r="G20" s="741">
        <v>9.52</v>
      </c>
      <c r="H20" s="657"/>
      <c r="I20" s="741"/>
      <c r="J20" s="741">
        <f t="shared" si="1"/>
        <v>1.43</v>
      </c>
      <c r="K20" s="741">
        <f t="shared" si="0"/>
        <v>1.43</v>
      </c>
      <c r="L20" s="741"/>
      <c r="M20" s="741"/>
      <c r="N20" s="741"/>
      <c r="O20" s="741"/>
      <c r="P20" s="741"/>
    </row>
    <row r="21" spans="1:16" s="648" customFormat="1" ht="12" x14ac:dyDescent="0.25">
      <c r="A21" s="649"/>
      <c r="B21" s="649"/>
      <c r="C21" s="649"/>
      <c r="D21" s="650"/>
      <c r="E21" s="649"/>
      <c r="F21" s="651"/>
      <c r="G21" s="741"/>
      <c r="H21" s="657"/>
      <c r="I21" s="741"/>
      <c r="J21" s="741"/>
      <c r="K21" s="741"/>
      <c r="L21" s="741"/>
      <c r="M21" s="741"/>
      <c r="N21" s="741"/>
      <c r="O21" s="741"/>
      <c r="P21" s="741"/>
    </row>
    <row r="22" spans="1:16" s="648" customFormat="1" ht="12" x14ac:dyDescent="0.25">
      <c r="A22" s="644"/>
      <c r="B22" s="644"/>
      <c r="C22" s="644" t="s">
        <v>1311</v>
      </c>
      <c r="D22" s="654" t="s">
        <v>1176</v>
      </c>
      <c r="E22" s="644" t="s">
        <v>57</v>
      </c>
      <c r="F22" s="646"/>
      <c r="G22" s="740"/>
      <c r="H22" s="740">
        <v>11</v>
      </c>
      <c r="I22" s="740">
        <f>SUM(I23:I25)</f>
        <v>6.08</v>
      </c>
      <c r="J22" s="740">
        <f>SUM(J23:J25)</f>
        <v>11.36</v>
      </c>
      <c r="K22" s="740">
        <f>I22+J22</f>
        <v>17.439999999999998</v>
      </c>
      <c r="L22" s="740">
        <f>ROUND(H22*I22,2)</f>
        <v>66.88</v>
      </c>
      <c r="M22" s="740">
        <f>ROUND(H22*J22,2)</f>
        <v>124.96</v>
      </c>
      <c r="N22" s="740">
        <f>L22+M22</f>
        <v>191.83999999999997</v>
      </c>
      <c r="O22" s="740">
        <f>ROUND(N22*$P$4,2)</f>
        <v>51.95</v>
      </c>
      <c r="P22" s="740">
        <f>N22+O22</f>
        <v>243.78999999999996</v>
      </c>
    </row>
    <row r="23" spans="1:16" s="648" customFormat="1" ht="12" x14ac:dyDescent="0.25">
      <c r="A23" s="649" t="s">
        <v>79</v>
      </c>
      <c r="B23" s="649" t="s">
        <v>1177</v>
      </c>
      <c r="C23" s="649"/>
      <c r="D23" s="650" t="s">
        <v>1176</v>
      </c>
      <c r="E23" s="649" t="s">
        <v>57</v>
      </c>
      <c r="F23" s="651">
        <v>1</v>
      </c>
      <c r="G23" s="741">
        <v>6.08</v>
      </c>
      <c r="H23" s="657"/>
      <c r="I23" s="742">
        <f>ROUND(F23*G23,2)</f>
        <v>6.08</v>
      </c>
      <c r="J23" s="741"/>
      <c r="K23" s="741">
        <f t="shared" ref="K23:K25" si="2">I23+J23</f>
        <v>6.08</v>
      </c>
      <c r="L23" s="741"/>
      <c r="M23" s="741"/>
      <c r="N23" s="741"/>
      <c r="O23" s="741"/>
      <c r="P23" s="741"/>
    </row>
    <row r="24" spans="1:16" s="648" customFormat="1" ht="12" x14ac:dyDescent="0.25">
      <c r="A24" s="649" t="s">
        <v>78</v>
      </c>
      <c r="B24" s="649">
        <v>2436</v>
      </c>
      <c r="C24" s="649"/>
      <c r="D24" s="650" t="s">
        <v>239</v>
      </c>
      <c r="E24" s="649" t="s">
        <v>42</v>
      </c>
      <c r="F24" s="651">
        <v>0.5</v>
      </c>
      <c r="G24" s="741">
        <v>13.2</v>
      </c>
      <c r="H24" s="657"/>
      <c r="I24" s="741"/>
      <c r="J24" s="741">
        <f t="shared" ref="J24:J25" si="3">ROUND(F24*G24,2)</f>
        <v>6.6</v>
      </c>
      <c r="K24" s="741">
        <f t="shared" si="2"/>
        <v>6.6</v>
      </c>
      <c r="L24" s="741"/>
      <c r="M24" s="741"/>
      <c r="N24" s="741"/>
      <c r="O24" s="741"/>
      <c r="P24" s="741"/>
    </row>
    <row r="25" spans="1:16" s="648" customFormat="1" ht="12" x14ac:dyDescent="0.25">
      <c r="A25" s="649" t="s">
        <v>78</v>
      </c>
      <c r="B25" s="649">
        <v>247</v>
      </c>
      <c r="C25" s="649"/>
      <c r="D25" s="650" t="s">
        <v>1175</v>
      </c>
      <c r="E25" s="649" t="s">
        <v>42</v>
      </c>
      <c r="F25" s="651">
        <v>0.5</v>
      </c>
      <c r="G25" s="741">
        <v>9.52</v>
      </c>
      <c r="H25" s="657"/>
      <c r="I25" s="741"/>
      <c r="J25" s="741">
        <f t="shared" si="3"/>
        <v>4.76</v>
      </c>
      <c r="K25" s="741">
        <f t="shared" si="2"/>
        <v>4.76</v>
      </c>
      <c r="L25" s="741"/>
      <c r="M25" s="741"/>
      <c r="N25" s="741"/>
      <c r="O25" s="741"/>
      <c r="P25" s="741"/>
    </row>
    <row r="26" spans="1:16" s="648" customFormat="1" ht="12" x14ac:dyDescent="0.25">
      <c r="A26" s="649"/>
      <c r="B26" s="649"/>
      <c r="C26" s="649"/>
      <c r="D26" s="650"/>
      <c r="E26" s="649"/>
      <c r="F26" s="651"/>
      <c r="G26" s="741"/>
      <c r="H26" s="657"/>
      <c r="I26" s="741"/>
      <c r="J26" s="741"/>
      <c r="K26" s="741"/>
      <c r="L26" s="741"/>
      <c r="M26" s="741"/>
      <c r="N26" s="741"/>
      <c r="O26" s="741"/>
      <c r="P26" s="741"/>
    </row>
    <row r="27" spans="1:16" s="660" customFormat="1" ht="12" x14ac:dyDescent="0.25">
      <c r="A27" s="644"/>
      <c r="B27" s="644"/>
      <c r="C27" s="644" t="s">
        <v>1311</v>
      </c>
      <c r="D27" s="654" t="str">
        <f>D28</f>
        <v>Condulete em liga de alumínio fundido Ø 1"</v>
      </c>
      <c r="E27" s="644" t="s">
        <v>57</v>
      </c>
      <c r="F27" s="646"/>
      <c r="G27" s="740"/>
      <c r="H27" s="740">
        <v>25</v>
      </c>
      <c r="I27" s="740">
        <f>SUM(I28:I30)</f>
        <v>8.4600000000000009</v>
      </c>
      <c r="J27" s="740">
        <f>SUM(J28:J30)</f>
        <v>11.36</v>
      </c>
      <c r="K27" s="740">
        <f>I27+J27</f>
        <v>19.82</v>
      </c>
      <c r="L27" s="740">
        <f>ROUND(H27*I27,2)</f>
        <v>211.5</v>
      </c>
      <c r="M27" s="740">
        <f>ROUND(H27*J27,2)</f>
        <v>284</v>
      </c>
      <c r="N27" s="740">
        <f>L27+M27</f>
        <v>495.5</v>
      </c>
      <c r="O27" s="740">
        <f>ROUND(N27*$P$4,2)</f>
        <v>134.18</v>
      </c>
      <c r="P27" s="740">
        <f>N27+O27</f>
        <v>629.68000000000006</v>
      </c>
    </row>
    <row r="28" spans="1:16" s="660" customFormat="1" ht="12" x14ac:dyDescent="0.25">
      <c r="A28" s="649" t="s">
        <v>79</v>
      </c>
      <c r="B28" s="649" t="s">
        <v>1430</v>
      </c>
      <c r="C28" s="649"/>
      <c r="D28" s="743" t="s">
        <v>1431</v>
      </c>
      <c r="E28" s="649" t="s">
        <v>57</v>
      </c>
      <c r="F28" s="651">
        <v>1</v>
      </c>
      <c r="G28" s="741">
        <v>8.4600000000000009</v>
      </c>
      <c r="H28" s="657"/>
      <c r="I28" s="742">
        <f>ROUND(F28*G28,2)</f>
        <v>8.4600000000000009</v>
      </c>
      <c r="J28" s="741"/>
      <c r="K28" s="741">
        <f t="shared" ref="K28:K30" si="4">I28+J28</f>
        <v>8.4600000000000009</v>
      </c>
      <c r="L28" s="741"/>
      <c r="M28" s="741"/>
      <c r="N28" s="741"/>
      <c r="O28" s="741"/>
      <c r="P28" s="741"/>
    </row>
    <row r="29" spans="1:16" s="660" customFormat="1" ht="12" x14ac:dyDescent="0.25">
      <c r="A29" s="649" t="s">
        <v>78</v>
      </c>
      <c r="B29" s="649">
        <v>2436</v>
      </c>
      <c r="C29" s="649"/>
      <c r="D29" s="650" t="s">
        <v>239</v>
      </c>
      <c r="E29" s="649" t="s">
        <v>42</v>
      </c>
      <c r="F29" s="651">
        <v>0.5</v>
      </c>
      <c r="G29" s="741">
        <v>13.2</v>
      </c>
      <c r="H29" s="657"/>
      <c r="I29" s="741"/>
      <c r="J29" s="741">
        <f t="shared" ref="J29:J30" si="5">ROUND(F29*G29,2)</f>
        <v>6.6</v>
      </c>
      <c r="K29" s="741">
        <f t="shared" si="4"/>
        <v>6.6</v>
      </c>
      <c r="L29" s="741"/>
      <c r="M29" s="741"/>
      <c r="N29" s="741"/>
      <c r="O29" s="741"/>
      <c r="P29" s="741"/>
    </row>
    <row r="30" spans="1:16" s="660" customFormat="1" ht="12" x14ac:dyDescent="0.25">
      <c r="A30" s="649" t="s">
        <v>78</v>
      </c>
      <c r="B30" s="649">
        <v>247</v>
      </c>
      <c r="C30" s="649"/>
      <c r="D30" s="650" t="s">
        <v>1175</v>
      </c>
      <c r="E30" s="649" t="s">
        <v>42</v>
      </c>
      <c r="F30" s="651">
        <v>0.5</v>
      </c>
      <c r="G30" s="741">
        <v>9.52</v>
      </c>
      <c r="H30" s="657"/>
      <c r="I30" s="741"/>
      <c r="J30" s="741">
        <f t="shared" si="5"/>
        <v>4.76</v>
      </c>
      <c r="K30" s="741">
        <f t="shared" si="4"/>
        <v>4.76</v>
      </c>
      <c r="L30" s="741"/>
      <c r="M30" s="741"/>
      <c r="N30" s="741"/>
      <c r="O30" s="741"/>
      <c r="P30" s="741"/>
    </row>
    <row r="31" spans="1:16" s="648" customFormat="1" ht="12" customHeight="1" x14ac:dyDescent="0.25">
      <c r="A31" s="649"/>
      <c r="B31" s="649"/>
      <c r="C31" s="649"/>
      <c r="D31" s="650"/>
      <c r="E31" s="649"/>
      <c r="F31" s="651"/>
      <c r="G31" s="741"/>
      <c r="H31" s="657"/>
      <c r="I31" s="741"/>
      <c r="J31" s="741"/>
      <c r="K31" s="741"/>
      <c r="L31" s="741"/>
      <c r="M31" s="741"/>
      <c r="N31" s="741"/>
      <c r="O31" s="741"/>
      <c r="P31" s="741"/>
    </row>
    <row r="32" spans="1:16" s="648" customFormat="1" ht="12" x14ac:dyDescent="0.25">
      <c r="A32" s="658"/>
      <c r="B32" s="658"/>
      <c r="C32" s="658" t="s">
        <v>1312</v>
      </c>
      <c r="D32" s="659" t="s">
        <v>1178</v>
      </c>
      <c r="E32" s="658"/>
      <c r="F32" s="658"/>
      <c r="G32" s="658"/>
      <c r="H32" s="740">
        <v>12</v>
      </c>
      <c r="I32" s="740">
        <f>SUM(I33:I35)</f>
        <v>11.12</v>
      </c>
      <c r="J32" s="740">
        <f>SUM(J33:J35)</f>
        <v>11.36</v>
      </c>
      <c r="K32" s="740">
        <f>I32+J32</f>
        <v>22.479999999999997</v>
      </c>
      <c r="L32" s="740">
        <f>ROUND(H32*I32,2)</f>
        <v>133.44</v>
      </c>
      <c r="M32" s="740">
        <f>ROUND(H32*J32,2)</f>
        <v>136.32</v>
      </c>
      <c r="N32" s="740">
        <f>L32+M32</f>
        <v>269.76</v>
      </c>
      <c r="O32" s="740">
        <f>ROUND(N32*$P$4,2)</f>
        <v>73.05</v>
      </c>
      <c r="P32" s="740">
        <f>N32+O32</f>
        <v>342.81</v>
      </c>
    </row>
    <row r="33" spans="1:16" s="648" customFormat="1" ht="12" x14ac:dyDescent="0.25">
      <c r="A33" s="661" t="s">
        <v>1179</v>
      </c>
      <c r="B33" s="662" t="s">
        <v>1180</v>
      </c>
      <c r="C33" s="661"/>
      <c r="D33" s="663" t="s">
        <v>1181</v>
      </c>
      <c r="E33" s="661" t="s">
        <v>56</v>
      </c>
      <c r="F33" s="663">
        <v>1.1000000000000001</v>
      </c>
      <c r="G33" s="744">
        <v>10.11</v>
      </c>
      <c r="H33" s="657"/>
      <c r="I33" s="742">
        <f>ROUND(F33*G33,2)</f>
        <v>11.12</v>
      </c>
      <c r="J33" s="741"/>
      <c r="K33" s="741">
        <f t="shared" ref="K33:K35" si="6">I33+J33</f>
        <v>11.12</v>
      </c>
      <c r="L33" s="741"/>
      <c r="M33" s="741"/>
      <c r="N33" s="741"/>
      <c r="O33" s="741"/>
      <c r="P33" s="741"/>
    </row>
    <row r="34" spans="1:16" s="648" customFormat="1" ht="12" x14ac:dyDescent="0.25">
      <c r="A34" s="664" t="s">
        <v>78</v>
      </c>
      <c r="B34" s="665">
        <v>2436</v>
      </c>
      <c r="C34" s="661"/>
      <c r="D34" s="663" t="s">
        <v>239</v>
      </c>
      <c r="E34" s="661" t="s">
        <v>42</v>
      </c>
      <c r="F34" s="663">
        <v>0.5</v>
      </c>
      <c r="G34" s="745">
        <v>13.2</v>
      </c>
      <c r="H34" s="657"/>
      <c r="I34" s="741"/>
      <c r="J34" s="741">
        <f t="shared" ref="J34:J35" si="7">ROUND(F34*G34,2)</f>
        <v>6.6</v>
      </c>
      <c r="K34" s="741">
        <f t="shared" si="6"/>
        <v>6.6</v>
      </c>
      <c r="L34" s="741"/>
      <c r="M34" s="741"/>
      <c r="N34" s="741"/>
      <c r="O34" s="741"/>
      <c r="P34" s="741"/>
    </row>
    <row r="35" spans="1:16" s="648" customFormat="1" ht="12" x14ac:dyDescent="0.25">
      <c r="A35" s="664" t="s">
        <v>78</v>
      </c>
      <c r="B35" s="665">
        <v>247</v>
      </c>
      <c r="C35" s="661"/>
      <c r="D35" s="663" t="s">
        <v>1175</v>
      </c>
      <c r="E35" s="661" t="s">
        <v>42</v>
      </c>
      <c r="F35" s="663">
        <v>0.5</v>
      </c>
      <c r="G35" s="745">
        <v>9.52</v>
      </c>
      <c r="H35" s="657"/>
      <c r="I35" s="741"/>
      <c r="J35" s="741">
        <f t="shared" si="7"/>
        <v>4.76</v>
      </c>
      <c r="K35" s="741">
        <f t="shared" si="6"/>
        <v>4.76</v>
      </c>
      <c r="L35" s="741"/>
      <c r="M35" s="741"/>
      <c r="N35" s="741"/>
      <c r="O35" s="741"/>
      <c r="P35" s="741"/>
    </row>
    <row r="36" spans="1:16" s="648" customFormat="1" ht="12" x14ac:dyDescent="0.25">
      <c r="A36" s="664"/>
      <c r="B36" s="665"/>
      <c r="C36" s="661"/>
      <c r="D36" s="663"/>
      <c r="E36" s="661"/>
      <c r="F36" s="663"/>
      <c r="G36" s="745"/>
      <c r="H36" s="657"/>
      <c r="I36" s="741"/>
      <c r="J36" s="741"/>
      <c r="K36" s="741"/>
      <c r="L36" s="741"/>
      <c r="M36" s="741"/>
      <c r="N36" s="741"/>
      <c r="O36" s="741"/>
      <c r="P36" s="741"/>
    </row>
    <row r="37" spans="1:16" s="648" customFormat="1" ht="12" customHeight="1" x14ac:dyDescent="0.25">
      <c r="A37" s="658"/>
      <c r="B37" s="658"/>
      <c r="C37" s="658" t="s">
        <v>1312</v>
      </c>
      <c r="D37" s="659" t="str">
        <f>D38</f>
        <v>Eletroduto de aço carbono com costura galvanizado a fogo, Ø 25 mm 1"</v>
      </c>
      <c r="E37" s="658"/>
      <c r="F37" s="658"/>
      <c r="G37" s="658"/>
      <c r="H37" s="740">
        <v>43</v>
      </c>
      <c r="I37" s="740">
        <f>SUM(I38:I40)</f>
        <v>11.12</v>
      </c>
      <c r="J37" s="740">
        <f>SUM(J38:J40)</f>
        <v>6.82</v>
      </c>
      <c r="K37" s="740">
        <f>I37+J37</f>
        <v>17.939999999999998</v>
      </c>
      <c r="L37" s="740">
        <f>ROUND(H37*I37,2)</f>
        <v>478.16</v>
      </c>
      <c r="M37" s="740">
        <f>ROUND(H37*J37,2)</f>
        <v>293.26</v>
      </c>
      <c r="N37" s="740">
        <f>L37+M37</f>
        <v>771.42000000000007</v>
      </c>
      <c r="O37" s="740">
        <f>ROUND(N37*$P$4,2)</f>
        <v>208.9</v>
      </c>
      <c r="P37" s="740">
        <f>N37+O37</f>
        <v>980.32</v>
      </c>
    </row>
    <row r="38" spans="1:16" s="648" customFormat="1" ht="12" customHeight="1" x14ac:dyDescent="0.25">
      <c r="A38" s="661" t="s">
        <v>1179</v>
      </c>
      <c r="B38" s="662" t="s">
        <v>1432</v>
      </c>
      <c r="C38" s="661"/>
      <c r="D38" s="746" t="s">
        <v>1433</v>
      </c>
      <c r="E38" s="661" t="s">
        <v>56</v>
      </c>
      <c r="F38" s="663">
        <v>1.1000000000000001</v>
      </c>
      <c r="G38" s="744">
        <v>10.11</v>
      </c>
      <c r="H38" s="657"/>
      <c r="I38" s="742">
        <f>ROUND(F38*G38,2)</f>
        <v>11.12</v>
      </c>
      <c r="J38" s="741"/>
      <c r="K38" s="741">
        <f t="shared" ref="K38:K40" si="8">I38+J38</f>
        <v>11.12</v>
      </c>
      <c r="L38" s="741"/>
      <c r="M38" s="741"/>
      <c r="N38" s="741"/>
      <c r="O38" s="741"/>
      <c r="P38" s="741"/>
    </row>
    <row r="39" spans="1:16" s="648" customFormat="1" ht="12" customHeight="1" x14ac:dyDescent="0.25">
      <c r="A39" s="664" t="s">
        <v>78</v>
      </c>
      <c r="B39" s="665">
        <v>2436</v>
      </c>
      <c r="C39" s="661"/>
      <c r="D39" s="663" t="s">
        <v>239</v>
      </c>
      <c r="E39" s="661" t="s">
        <v>42</v>
      </c>
      <c r="F39" s="663">
        <v>0.3</v>
      </c>
      <c r="G39" s="745">
        <v>13.2</v>
      </c>
      <c r="H39" s="657"/>
      <c r="I39" s="741"/>
      <c r="J39" s="741">
        <f t="shared" ref="J39:J40" si="9">ROUND(F39*G39,2)</f>
        <v>3.96</v>
      </c>
      <c r="K39" s="741">
        <f t="shared" si="8"/>
        <v>3.96</v>
      </c>
      <c r="L39" s="741"/>
      <c r="M39" s="741"/>
      <c r="N39" s="741"/>
      <c r="O39" s="741"/>
      <c r="P39" s="741"/>
    </row>
    <row r="40" spans="1:16" s="648" customFormat="1" ht="12" customHeight="1" x14ac:dyDescent="0.25">
      <c r="A40" s="664" t="s">
        <v>78</v>
      </c>
      <c r="B40" s="665">
        <v>247</v>
      </c>
      <c r="C40" s="661"/>
      <c r="D40" s="663" t="s">
        <v>1175</v>
      </c>
      <c r="E40" s="661" t="s">
        <v>42</v>
      </c>
      <c r="F40" s="663">
        <v>0.3</v>
      </c>
      <c r="G40" s="745">
        <v>9.52</v>
      </c>
      <c r="H40" s="657"/>
      <c r="I40" s="741"/>
      <c r="J40" s="741">
        <f t="shared" si="9"/>
        <v>2.86</v>
      </c>
      <c r="K40" s="741">
        <f t="shared" si="8"/>
        <v>2.86</v>
      </c>
      <c r="L40" s="741"/>
      <c r="M40" s="741"/>
      <c r="N40" s="741"/>
      <c r="O40" s="741"/>
      <c r="P40" s="741"/>
    </row>
    <row r="41" spans="1:16" s="648" customFormat="1" ht="12" customHeight="1" x14ac:dyDescent="0.25">
      <c r="A41" s="667"/>
      <c r="B41" s="667"/>
      <c r="C41" s="667"/>
      <c r="D41" s="668"/>
      <c r="E41" s="667"/>
      <c r="F41" s="669"/>
      <c r="G41" s="747"/>
      <c r="H41" s="671"/>
      <c r="I41" s="747"/>
      <c r="J41" s="747"/>
      <c r="K41" s="747"/>
      <c r="L41" s="747"/>
      <c r="M41" s="747"/>
      <c r="N41" s="747"/>
      <c r="O41" s="747"/>
      <c r="P41" s="747"/>
    </row>
    <row r="42" spans="1:16" s="660" customFormat="1" ht="12" x14ac:dyDescent="0.25">
      <c r="A42" s="644"/>
      <c r="B42" s="644"/>
      <c r="C42" s="644" t="s">
        <v>1313</v>
      </c>
      <c r="D42" s="654" t="s">
        <v>1182</v>
      </c>
      <c r="E42" s="644" t="s">
        <v>56</v>
      </c>
      <c r="F42" s="646"/>
      <c r="G42" s="740"/>
      <c r="H42" s="740">
        <v>98</v>
      </c>
      <c r="I42" s="740">
        <f>SUM(I43:I45)</f>
        <v>1.6</v>
      </c>
      <c r="J42" s="740">
        <f>SUM(J43:J45)</f>
        <v>3.41</v>
      </c>
      <c r="K42" s="740">
        <f>I42+J42</f>
        <v>5.01</v>
      </c>
      <c r="L42" s="740">
        <f>ROUND(H42*I42,2)</f>
        <v>156.80000000000001</v>
      </c>
      <c r="M42" s="740">
        <f>ROUND(H42*J42,2)</f>
        <v>334.18</v>
      </c>
      <c r="N42" s="740">
        <f>L42+M42</f>
        <v>490.98</v>
      </c>
      <c r="O42" s="740">
        <f>ROUND(N42*$P$4,2)</f>
        <v>132.96</v>
      </c>
      <c r="P42" s="740">
        <f>N42+O42</f>
        <v>623.94000000000005</v>
      </c>
    </row>
    <row r="43" spans="1:16" s="660" customFormat="1" ht="12" x14ac:dyDescent="0.25">
      <c r="A43" s="649" t="s">
        <v>78</v>
      </c>
      <c r="B43" s="649">
        <v>72935</v>
      </c>
      <c r="C43" s="649"/>
      <c r="D43" s="650" t="s">
        <v>1182</v>
      </c>
      <c r="E43" s="649" t="s">
        <v>56</v>
      </c>
      <c r="F43" s="651">
        <v>1</v>
      </c>
      <c r="G43" s="741">
        <v>1.6</v>
      </c>
      <c r="H43" s="657"/>
      <c r="I43" s="742">
        <f>ROUND(F43*G43,2)</f>
        <v>1.6</v>
      </c>
      <c r="J43" s="741"/>
      <c r="K43" s="741">
        <f t="shared" ref="K43:K45" si="10">I43+J43</f>
        <v>1.6</v>
      </c>
      <c r="L43" s="741"/>
      <c r="M43" s="741"/>
      <c r="N43" s="741"/>
      <c r="O43" s="741"/>
      <c r="P43" s="741"/>
    </row>
    <row r="44" spans="1:16" s="660" customFormat="1" ht="12" x14ac:dyDescent="0.25">
      <c r="A44" s="649" t="s">
        <v>78</v>
      </c>
      <c r="B44" s="649">
        <v>2436</v>
      </c>
      <c r="C44" s="649"/>
      <c r="D44" s="650" t="s">
        <v>239</v>
      </c>
      <c r="E44" s="649" t="s">
        <v>42</v>
      </c>
      <c r="F44" s="651">
        <v>0.15</v>
      </c>
      <c r="G44" s="741">
        <v>13.2</v>
      </c>
      <c r="H44" s="657"/>
      <c r="I44" s="741"/>
      <c r="J44" s="741">
        <f t="shared" ref="J44:J45" si="11">ROUND(F44*G44,2)</f>
        <v>1.98</v>
      </c>
      <c r="K44" s="741">
        <f t="shared" si="10"/>
        <v>1.98</v>
      </c>
      <c r="L44" s="741"/>
      <c r="M44" s="741"/>
      <c r="N44" s="741"/>
      <c r="O44" s="741"/>
      <c r="P44" s="741"/>
    </row>
    <row r="45" spans="1:16" s="660" customFormat="1" ht="12" x14ac:dyDescent="0.25">
      <c r="A45" s="649" t="s">
        <v>78</v>
      </c>
      <c r="B45" s="649">
        <v>247</v>
      </c>
      <c r="C45" s="649"/>
      <c r="D45" s="650" t="s">
        <v>1175</v>
      </c>
      <c r="E45" s="649" t="s">
        <v>42</v>
      </c>
      <c r="F45" s="651">
        <v>0.15</v>
      </c>
      <c r="G45" s="741">
        <v>9.52</v>
      </c>
      <c r="H45" s="657"/>
      <c r="I45" s="741"/>
      <c r="J45" s="741">
        <f t="shared" si="11"/>
        <v>1.43</v>
      </c>
      <c r="K45" s="741">
        <f t="shared" si="10"/>
        <v>1.43</v>
      </c>
      <c r="L45" s="741"/>
      <c r="M45" s="741"/>
      <c r="N45" s="741"/>
      <c r="O45" s="741"/>
      <c r="P45" s="741"/>
    </row>
    <row r="46" spans="1:16" s="660" customFormat="1" ht="12" x14ac:dyDescent="0.25">
      <c r="A46" s="649"/>
      <c r="B46" s="649"/>
      <c r="C46" s="649"/>
      <c r="D46" s="650"/>
      <c r="E46" s="649"/>
      <c r="F46" s="651"/>
      <c r="G46" s="741"/>
      <c r="H46" s="657"/>
      <c r="I46" s="741"/>
      <c r="J46" s="741"/>
      <c r="K46" s="741"/>
      <c r="L46" s="741"/>
      <c r="M46" s="741"/>
      <c r="N46" s="741"/>
      <c r="O46" s="741"/>
      <c r="P46" s="741"/>
    </row>
    <row r="47" spans="1:16" s="660" customFormat="1" ht="12" x14ac:dyDescent="0.25">
      <c r="A47" s="644"/>
      <c r="B47" s="644"/>
      <c r="C47" s="644" t="s">
        <v>1314</v>
      </c>
      <c r="D47" s="654" t="s">
        <v>1183</v>
      </c>
      <c r="E47" s="644" t="s">
        <v>56</v>
      </c>
      <c r="F47" s="646"/>
      <c r="G47" s="740"/>
      <c r="H47" s="740">
        <v>20</v>
      </c>
      <c r="I47" s="740">
        <f>SUM(I48:I50)</f>
        <v>2.31</v>
      </c>
      <c r="J47" s="740">
        <f>SUM(J48:J50)</f>
        <v>6.82</v>
      </c>
      <c r="K47" s="740">
        <f>I47+J47</f>
        <v>9.1300000000000008</v>
      </c>
      <c r="L47" s="740">
        <f>ROUND(H47*I47,2)</f>
        <v>46.2</v>
      </c>
      <c r="M47" s="740">
        <f>ROUND(H47*J47,2)</f>
        <v>136.4</v>
      </c>
      <c r="N47" s="740">
        <f>L47+M47</f>
        <v>182.60000000000002</v>
      </c>
      <c r="O47" s="740">
        <f>ROUND(N47*$P$4,2)</f>
        <v>49.45</v>
      </c>
      <c r="P47" s="740">
        <f>N47+O47</f>
        <v>232.05</v>
      </c>
    </row>
    <row r="48" spans="1:16" s="660" customFormat="1" ht="12" x14ac:dyDescent="0.25">
      <c r="A48" s="649" t="s">
        <v>1179</v>
      </c>
      <c r="B48" s="672" t="s">
        <v>1184</v>
      </c>
      <c r="C48" s="649"/>
      <c r="D48" s="650" t="s">
        <v>1185</v>
      </c>
      <c r="E48" s="649" t="s">
        <v>56</v>
      </c>
      <c r="F48" s="651">
        <v>1.1000000000000001</v>
      </c>
      <c r="G48" s="741">
        <v>2.1</v>
      </c>
      <c r="H48" s="657"/>
      <c r="I48" s="742">
        <f>ROUND(F48*G48,2)</f>
        <v>2.31</v>
      </c>
      <c r="J48" s="741"/>
      <c r="K48" s="741">
        <f t="shared" ref="K48:K50" si="12">I48+J48</f>
        <v>2.31</v>
      </c>
      <c r="L48" s="741"/>
      <c r="M48" s="741"/>
      <c r="N48" s="741"/>
      <c r="O48" s="741"/>
      <c r="P48" s="741"/>
    </row>
    <row r="49" spans="1:16" s="660" customFormat="1" ht="12" x14ac:dyDescent="0.25">
      <c r="A49" s="649" t="s">
        <v>78</v>
      </c>
      <c r="B49" s="649">
        <v>2436</v>
      </c>
      <c r="C49" s="649"/>
      <c r="D49" s="650" t="s">
        <v>239</v>
      </c>
      <c r="E49" s="649" t="s">
        <v>42</v>
      </c>
      <c r="F49" s="651">
        <v>0.3</v>
      </c>
      <c r="G49" s="741">
        <v>13.2</v>
      </c>
      <c r="H49" s="657"/>
      <c r="I49" s="741"/>
      <c r="J49" s="741">
        <f t="shared" ref="J49:J50" si="13">ROUND(F49*G49,2)</f>
        <v>3.96</v>
      </c>
      <c r="K49" s="741">
        <f t="shared" si="12"/>
        <v>3.96</v>
      </c>
      <c r="L49" s="741"/>
      <c r="M49" s="741"/>
      <c r="N49" s="741"/>
      <c r="O49" s="741"/>
      <c r="P49" s="741"/>
    </row>
    <row r="50" spans="1:16" s="660" customFormat="1" ht="12" x14ac:dyDescent="0.25">
      <c r="A50" s="649" t="s">
        <v>78</v>
      </c>
      <c r="B50" s="649">
        <v>247</v>
      </c>
      <c r="C50" s="649"/>
      <c r="D50" s="650" t="s">
        <v>1175</v>
      </c>
      <c r="E50" s="649" t="s">
        <v>42</v>
      </c>
      <c r="F50" s="651">
        <v>0.3</v>
      </c>
      <c r="G50" s="741">
        <v>9.52</v>
      </c>
      <c r="H50" s="657"/>
      <c r="I50" s="741"/>
      <c r="J50" s="741">
        <f t="shared" si="13"/>
        <v>2.86</v>
      </c>
      <c r="K50" s="741">
        <f t="shared" si="12"/>
        <v>2.86</v>
      </c>
      <c r="L50" s="741"/>
      <c r="M50" s="741"/>
      <c r="N50" s="741"/>
      <c r="O50" s="741"/>
      <c r="P50" s="741"/>
    </row>
    <row r="51" spans="1:16" s="660" customFormat="1" ht="12" x14ac:dyDescent="0.25">
      <c r="A51" s="667"/>
      <c r="B51" s="667"/>
      <c r="C51" s="667"/>
      <c r="D51" s="668"/>
      <c r="E51" s="667"/>
      <c r="F51" s="669"/>
      <c r="G51" s="747"/>
      <c r="H51" s="747"/>
      <c r="I51" s="747"/>
      <c r="J51" s="747"/>
      <c r="K51" s="747"/>
      <c r="L51" s="747"/>
      <c r="M51" s="747"/>
      <c r="N51" s="747"/>
      <c r="O51" s="747"/>
      <c r="P51" s="747"/>
    </row>
    <row r="52" spans="1:16" s="648" customFormat="1" ht="12" customHeight="1" x14ac:dyDescent="0.25">
      <c r="A52" s="658"/>
      <c r="B52" s="673"/>
      <c r="C52" s="674" t="s">
        <v>1315</v>
      </c>
      <c r="D52" s="659" t="s">
        <v>1186</v>
      </c>
      <c r="E52" s="675" t="s">
        <v>56</v>
      </c>
      <c r="F52" s="748"/>
      <c r="G52" s="749"/>
      <c r="H52" s="748">
        <v>60</v>
      </c>
      <c r="I52" s="750">
        <f>SUM(I53:I55)</f>
        <v>3.49</v>
      </c>
      <c r="J52" s="751">
        <f>SUM(J53:J55)</f>
        <v>6.82</v>
      </c>
      <c r="K52" s="679">
        <f>I52+J52</f>
        <v>10.31</v>
      </c>
      <c r="L52" s="752">
        <f>ROUND(H52*I52,2)</f>
        <v>209.4</v>
      </c>
      <c r="M52" s="752">
        <f>ROUND(H52*J52,2)</f>
        <v>409.2</v>
      </c>
      <c r="N52" s="680">
        <f>L52+M52</f>
        <v>618.6</v>
      </c>
      <c r="O52" s="680">
        <f>ROUND(N52*$P$4,2)</f>
        <v>167.52</v>
      </c>
      <c r="P52" s="680">
        <f>N52+O52</f>
        <v>786.12</v>
      </c>
    </row>
    <row r="53" spans="1:16" s="648" customFormat="1" ht="12" x14ac:dyDescent="0.25">
      <c r="A53" s="661" t="s">
        <v>1179</v>
      </c>
      <c r="B53" s="662" t="s">
        <v>1187</v>
      </c>
      <c r="C53" s="661"/>
      <c r="D53" s="663" t="s">
        <v>1188</v>
      </c>
      <c r="E53" s="661" t="s">
        <v>56</v>
      </c>
      <c r="F53" s="663">
        <v>1.1000000000000001</v>
      </c>
      <c r="G53" s="744">
        <v>3.17</v>
      </c>
      <c r="H53" s="663"/>
      <c r="I53" s="753">
        <f>ROUND(F53*G53,2)</f>
        <v>3.49</v>
      </c>
      <c r="J53" s="754"/>
      <c r="K53" s="682"/>
      <c r="L53" s="753"/>
      <c r="M53" s="753"/>
      <c r="N53" s="753"/>
      <c r="O53" s="753"/>
      <c r="P53" s="753"/>
    </row>
    <row r="54" spans="1:16" s="648" customFormat="1" ht="12" x14ac:dyDescent="0.25">
      <c r="A54" s="664" t="s">
        <v>78</v>
      </c>
      <c r="B54" s="665">
        <v>2436</v>
      </c>
      <c r="C54" s="661"/>
      <c r="D54" s="663" t="s">
        <v>239</v>
      </c>
      <c r="E54" s="661" t="s">
        <v>42</v>
      </c>
      <c r="F54" s="663">
        <v>0.3</v>
      </c>
      <c r="G54" s="745">
        <v>13.2</v>
      </c>
      <c r="H54" s="663"/>
      <c r="I54" s="663"/>
      <c r="J54" s="754">
        <f>ROUND(F54*G54,2)</f>
        <v>3.96</v>
      </c>
      <c r="K54" s="682"/>
      <c r="L54" s="753"/>
      <c r="M54" s="753"/>
      <c r="N54" s="753"/>
      <c r="O54" s="753"/>
      <c r="P54" s="753"/>
    </row>
    <row r="55" spans="1:16" s="648" customFormat="1" ht="12" x14ac:dyDescent="0.25">
      <c r="A55" s="664" t="s">
        <v>78</v>
      </c>
      <c r="B55" s="665">
        <v>247</v>
      </c>
      <c r="C55" s="661"/>
      <c r="D55" s="663" t="s">
        <v>1175</v>
      </c>
      <c r="E55" s="661" t="s">
        <v>42</v>
      </c>
      <c r="F55" s="663">
        <v>0.3</v>
      </c>
      <c r="G55" s="745">
        <v>9.52</v>
      </c>
      <c r="H55" s="663"/>
      <c r="I55" s="663"/>
      <c r="J55" s="754">
        <f>ROUND(F55*G55,2)</f>
        <v>2.86</v>
      </c>
      <c r="K55" s="682"/>
      <c r="L55" s="753"/>
      <c r="M55" s="753"/>
      <c r="N55" s="753"/>
      <c r="O55" s="753"/>
      <c r="P55" s="753"/>
    </row>
    <row r="56" spans="1:16" s="648" customFormat="1" ht="12" x14ac:dyDescent="0.25">
      <c r="A56" s="683"/>
      <c r="B56" s="684"/>
      <c r="C56" s="685"/>
      <c r="D56" s="671"/>
      <c r="E56" s="685"/>
      <c r="F56" s="671"/>
      <c r="G56" s="755"/>
      <c r="H56" s="671"/>
      <c r="I56" s="671"/>
      <c r="J56" s="756"/>
      <c r="K56" s="687"/>
      <c r="L56" s="757"/>
      <c r="M56" s="757"/>
      <c r="N56" s="757"/>
      <c r="O56" s="757"/>
      <c r="P56" s="757"/>
    </row>
    <row r="57" spans="1:16" s="648" customFormat="1" ht="12" x14ac:dyDescent="0.25">
      <c r="A57" s="658"/>
      <c r="B57" s="673"/>
      <c r="C57" s="674" t="s">
        <v>1316</v>
      </c>
      <c r="D57" s="659" t="s">
        <v>1189</v>
      </c>
      <c r="E57" s="675" t="s">
        <v>56</v>
      </c>
      <c r="F57" s="748"/>
      <c r="G57" s="749"/>
      <c r="H57" s="748">
        <v>60</v>
      </c>
      <c r="I57" s="750">
        <f>SUM(I58:I60)</f>
        <v>3.49</v>
      </c>
      <c r="J57" s="751">
        <f>SUM(J58:J60)</f>
        <v>6.82</v>
      </c>
      <c r="K57" s="679">
        <f>I57+J57</f>
        <v>10.31</v>
      </c>
      <c r="L57" s="752">
        <f>ROUND(H57*I57,2)</f>
        <v>209.4</v>
      </c>
      <c r="M57" s="752">
        <f>ROUND(H57*J57,2)</f>
        <v>409.2</v>
      </c>
      <c r="N57" s="680">
        <f>L57+M57</f>
        <v>618.6</v>
      </c>
      <c r="O57" s="680">
        <f>ROUND(N57*$P$4,2)</f>
        <v>167.52</v>
      </c>
      <c r="P57" s="680">
        <f>N57+O57</f>
        <v>786.12</v>
      </c>
    </row>
    <row r="58" spans="1:16" s="648" customFormat="1" ht="12" x14ac:dyDescent="0.25">
      <c r="A58" s="661" t="s">
        <v>1179</v>
      </c>
      <c r="B58" s="662" t="s">
        <v>1187</v>
      </c>
      <c r="C58" s="661"/>
      <c r="D58" s="663" t="s">
        <v>1181</v>
      </c>
      <c r="E58" s="661" t="s">
        <v>56</v>
      </c>
      <c r="F58" s="663">
        <v>1.1000000000000001</v>
      </c>
      <c r="G58" s="744">
        <v>3.17</v>
      </c>
      <c r="H58" s="663"/>
      <c r="I58" s="753">
        <f>ROUND(F58*G58,2)</f>
        <v>3.49</v>
      </c>
      <c r="J58" s="754"/>
      <c r="K58" s="682"/>
      <c r="L58" s="753"/>
      <c r="M58" s="753"/>
      <c r="N58" s="753"/>
      <c r="O58" s="753"/>
      <c r="P58" s="753"/>
    </row>
    <row r="59" spans="1:16" s="648" customFormat="1" ht="12" x14ac:dyDescent="0.25">
      <c r="A59" s="664" t="s">
        <v>78</v>
      </c>
      <c r="B59" s="665">
        <v>2436</v>
      </c>
      <c r="C59" s="661"/>
      <c r="D59" s="663" t="s">
        <v>239</v>
      </c>
      <c r="E59" s="661" t="s">
        <v>42</v>
      </c>
      <c r="F59" s="663">
        <v>0.3</v>
      </c>
      <c r="G59" s="745">
        <v>13.2</v>
      </c>
      <c r="H59" s="663"/>
      <c r="I59" s="663"/>
      <c r="J59" s="754">
        <f>ROUND(F59*G59,2)</f>
        <v>3.96</v>
      </c>
      <c r="K59" s="682"/>
      <c r="L59" s="753"/>
      <c r="M59" s="753"/>
      <c r="N59" s="753"/>
      <c r="O59" s="753"/>
      <c r="P59" s="753"/>
    </row>
    <row r="60" spans="1:16" s="648" customFormat="1" ht="12" x14ac:dyDescent="0.25">
      <c r="A60" s="664" t="s">
        <v>78</v>
      </c>
      <c r="B60" s="665">
        <v>247</v>
      </c>
      <c r="C60" s="661"/>
      <c r="D60" s="663" t="s">
        <v>1175</v>
      </c>
      <c r="E60" s="661" t="s">
        <v>42</v>
      </c>
      <c r="F60" s="663">
        <v>0.3</v>
      </c>
      <c r="G60" s="745">
        <v>9.52</v>
      </c>
      <c r="H60" s="663"/>
      <c r="I60" s="663"/>
      <c r="J60" s="754">
        <f>ROUND(F60*G60,2)</f>
        <v>2.86</v>
      </c>
      <c r="K60" s="682"/>
      <c r="L60" s="753"/>
      <c r="M60" s="753"/>
      <c r="N60" s="753"/>
      <c r="O60" s="753"/>
      <c r="P60" s="753"/>
    </row>
    <row r="61" spans="1:16" s="648" customFormat="1" ht="12" x14ac:dyDescent="0.25">
      <c r="A61" s="683"/>
      <c r="B61" s="684"/>
      <c r="C61" s="685"/>
      <c r="D61" s="671"/>
      <c r="E61" s="685"/>
      <c r="F61" s="671"/>
      <c r="G61" s="755"/>
      <c r="H61" s="671"/>
      <c r="I61" s="671"/>
      <c r="J61" s="756"/>
      <c r="K61" s="687"/>
      <c r="L61" s="757"/>
      <c r="M61" s="757"/>
      <c r="N61" s="757"/>
      <c r="O61" s="757"/>
      <c r="P61" s="757"/>
    </row>
    <row r="62" spans="1:16" s="648" customFormat="1" ht="12" x14ac:dyDescent="0.25">
      <c r="A62" s="644"/>
      <c r="B62" s="644"/>
      <c r="C62" s="644" t="s">
        <v>1317</v>
      </c>
      <c r="D62" s="654" t="s">
        <v>1190</v>
      </c>
      <c r="E62" s="644" t="s">
        <v>56</v>
      </c>
      <c r="F62" s="646"/>
      <c r="G62" s="740"/>
      <c r="H62" s="740">
        <v>12</v>
      </c>
      <c r="I62" s="740">
        <f>SUM(I63:I74)</f>
        <v>10.960000000000003</v>
      </c>
      <c r="J62" s="740">
        <f>SUM(J63:J74)</f>
        <v>13.629999999999999</v>
      </c>
      <c r="K62" s="740">
        <f>I62+J62</f>
        <v>24.590000000000003</v>
      </c>
      <c r="L62" s="740">
        <f>ROUND(H62*I62,2)</f>
        <v>131.52000000000001</v>
      </c>
      <c r="M62" s="740">
        <f>ROUND(H62*J62,2)</f>
        <v>163.56</v>
      </c>
      <c r="N62" s="740">
        <f>L62+M62</f>
        <v>295.08000000000004</v>
      </c>
      <c r="O62" s="740">
        <f>ROUND(N62*$P$4,2)</f>
        <v>79.91</v>
      </c>
      <c r="P62" s="740">
        <f>N62+O62</f>
        <v>374.99</v>
      </c>
    </row>
    <row r="63" spans="1:16" s="648" customFormat="1" ht="24" x14ac:dyDescent="0.25">
      <c r="A63" s="649" t="s">
        <v>1142</v>
      </c>
      <c r="B63" s="649" t="s">
        <v>1191</v>
      </c>
      <c r="C63" s="649"/>
      <c r="D63" s="650" t="s">
        <v>1192</v>
      </c>
      <c r="E63" s="649" t="s">
        <v>56</v>
      </c>
      <c r="F63" s="651">
        <v>1</v>
      </c>
      <c r="G63" s="741">
        <v>6.8</v>
      </c>
      <c r="H63" s="657"/>
      <c r="I63" s="741">
        <f t="shared" ref="I63:I72" si="14">ROUND(F63*G63,2)</f>
        <v>6.8</v>
      </c>
      <c r="J63" s="741"/>
      <c r="K63" s="741">
        <f t="shared" ref="K63:K74" si="15">I63+J63</f>
        <v>6.8</v>
      </c>
      <c r="L63" s="741"/>
      <c r="M63" s="741"/>
      <c r="N63" s="741"/>
      <c r="O63" s="741"/>
      <c r="P63" s="741"/>
    </row>
    <row r="64" spans="1:16" s="648" customFormat="1" ht="12" x14ac:dyDescent="0.25">
      <c r="A64" s="649" t="s">
        <v>1142</v>
      </c>
      <c r="B64" s="649" t="s">
        <v>1191</v>
      </c>
      <c r="C64" s="649"/>
      <c r="D64" s="650" t="s">
        <v>1193</v>
      </c>
      <c r="E64" s="649" t="s">
        <v>57</v>
      </c>
      <c r="F64" s="651">
        <v>0.17</v>
      </c>
      <c r="G64" s="741">
        <v>0.9</v>
      </c>
      <c r="H64" s="657"/>
      <c r="I64" s="741">
        <f t="shared" si="14"/>
        <v>0.15</v>
      </c>
      <c r="J64" s="741"/>
      <c r="K64" s="741">
        <f t="shared" si="15"/>
        <v>0.15</v>
      </c>
      <c r="L64" s="741"/>
      <c r="M64" s="741"/>
      <c r="N64" s="741"/>
      <c r="O64" s="741"/>
      <c r="P64" s="741"/>
    </row>
    <row r="65" spans="1:16" s="648" customFormat="1" ht="12" x14ac:dyDescent="0.25">
      <c r="A65" s="649" t="s">
        <v>1142</v>
      </c>
      <c r="B65" s="649" t="s">
        <v>1191</v>
      </c>
      <c r="C65" s="649"/>
      <c r="D65" s="650" t="s">
        <v>1194</v>
      </c>
      <c r="E65" s="649" t="s">
        <v>57</v>
      </c>
      <c r="F65" s="651">
        <v>0.5</v>
      </c>
      <c r="G65" s="741">
        <v>1.04</v>
      </c>
      <c r="H65" s="657"/>
      <c r="I65" s="741">
        <f t="shared" si="14"/>
        <v>0.52</v>
      </c>
      <c r="J65" s="741"/>
      <c r="K65" s="741">
        <f t="shared" si="15"/>
        <v>0.52</v>
      </c>
      <c r="L65" s="741"/>
      <c r="M65" s="741"/>
      <c r="N65" s="741"/>
      <c r="O65" s="741"/>
      <c r="P65" s="741"/>
    </row>
    <row r="66" spans="1:16" s="648" customFormat="1" ht="12" customHeight="1" x14ac:dyDescent="0.25">
      <c r="A66" s="649" t="s">
        <v>1142</v>
      </c>
      <c r="B66" s="649" t="s">
        <v>1191</v>
      </c>
      <c r="C66" s="649"/>
      <c r="D66" s="650" t="s">
        <v>1195</v>
      </c>
      <c r="E66" s="649" t="s">
        <v>57</v>
      </c>
      <c r="F66" s="651">
        <v>0.5</v>
      </c>
      <c r="G66" s="741">
        <v>0.86</v>
      </c>
      <c r="H66" s="657"/>
      <c r="I66" s="741">
        <f t="shared" si="14"/>
        <v>0.43</v>
      </c>
      <c r="J66" s="741"/>
      <c r="K66" s="741">
        <f t="shared" si="15"/>
        <v>0.43</v>
      </c>
      <c r="L66" s="741"/>
      <c r="M66" s="741"/>
      <c r="N66" s="741"/>
      <c r="O66" s="741"/>
      <c r="P66" s="741"/>
    </row>
    <row r="67" spans="1:16" s="648" customFormat="1" ht="37.5" customHeight="1" x14ac:dyDescent="0.25">
      <c r="A67" s="649" t="s">
        <v>1142</v>
      </c>
      <c r="B67" s="649" t="s">
        <v>1191</v>
      </c>
      <c r="C67" s="649"/>
      <c r="D67" s="650" t="s">
        <v>1196</v>
      </c>
      <c r="E67" s="649" t="s">
        <v>56</v>
      </c>
      <c r="F67" s="651">
        <v>0.15</v>
      </c>
      <c r="G67" s="741">
        <v>1.4</v>
      </c>
      <c r="H67" s="657"/>
      <c r="I67" s="741">
        <f t="shared" si="14"/>
        <v>0.21</v>
      </c>
      <c r="J67" s="741"/>
      <c r="K67" s="741">
        <f t="shared" si="15"/>
        <v>0.21</v>
      </c>
      <c r="L67" s="741"/>
      <c r="M67" s="741"/>
      <c r="N67" s="741"/>
      <c r="O67" s="741"/>
      <c r="P67" s="741"/>
    </row>
    <row r="68" spans="1:16" s="648" customFormat="1" ht="12" x14ac:dyDescent="0.25">
      <c r="A68" s="649" t="s">
        <v>1142</v>
      </c>
      <c r="B68" s="649" t="s">
        <v>1191</v>
      </c>
      <c r="C68" s="649"/>
      <c r="D68" s="650" t="s">
        <v>1197</v>
      </c>
      <c r="E68" s="649" t="s">
        <v>57</v>
      </c>
      <c r="F68" s="651">
        <v>1</v>
      </c>
      <c r="G68" s="741">
        <v>2.12</v>
      </c>
      <c r="H68" s="657"/>
      <c r="I68" s="741">
        <f t="shared" si="14"/>
        <v>2.12</v>
      </c>
      <c r="J68" s="741"/>
      <c r="K68" s="741">
        <f t="shared" si="15"/>
        <v>2.12</v>
      </c>
      <c r="L68" s="741"/>
      <c r="M68" s="741"/>
      <c r="N68" s="741"/>
      <c r="O68" s="741"/>
      <c r="P68" s="741"/>
    </row>
    <row r="69" spans="1:16" s="648" customFormat="1" ht="12" x14ac:dyDescent="0.25">
      <c r="A69" s="649" t="s">
        <v>78</v>
      </c>
      <c r="B69" s="649">
        <v>4350</v>
      </c>
      <c r="C69" s="649"/>
      <c r="D69" s="650" t="s">
        <v>1198</v>
      </c>
      <c r="E69" s="649" t="s">
        <v>57</v>
      </c>
      <c r="F69" s="651">
        <v>1</v>
      </c>
      <c r="G69" s="741">
        <v>0.48</v>
      </c>
      <c r="H69" s="657"/>
      <c r="I69" s="741">
        <f t="shared" si="14"/>
        <v>0.48</v>
      </c>
      <c r="J69" s="741"/>
      <c r="K69" s="741">
        <f t="shared" si="15"/>
        <v>0.48</v>
      </c>
      <c r="L69" s="741"/>
      <c r="M69" s="741"/>
      <c r="N69" s="741"/>
      <c r="O69" s="741"/>
      <c r="P69" s="741"/>
    </row>
    <row r="70" spans="1:16" s="648" customFormat="1" ht="12" x14ac:dyDescent="0.25">
      <c r="A70" s="649" t="s">
        <v>1142</v>
      </c>
      <c r="B70" s="649" t="s">
        <v>1191</v>
      </c>
      <c r="C70" s="649"/>
      <c r="D70" s="650" t="s">
        <v>1199</v>
      </c>
      <c r="E70" s="649" t="s">
        <v>57</v>
      </c>
      <c r="F70" s="651">
        <v>1.67</v>
      </c>
      <c r="G70" s="741">
        <v>0.08</v>
      </c>
      <c r="H70" s="657"/>
      <c r="I70" s="741">
        <f t="shared" si="14"/>
        <v>0.13</v>
      </c>
      <c r="J70" s="741"/>
      <c r="K70" s="741">
        <f t="shared" si="15"/>
        <v>0.13</v>
      </c>
      <c r="L70" s="741"/>
      <c r="M70" s="741"/>
      <c r="N70" s="741"/>
      <c r="O70" s="741"/>
      <c r="P70" s="741"/>
    </row>
    <row r="71" spans="1:16" s="648" customFormat="1" ht="12" x14ac:dyDescent="0.25">
      <c r="A71" s="649" t="s">
        <v>1142</v>
      </c>
      <c r="B71" s="649" t="s">
        <v>1191</v>
      </c>
      <c r="C71" s="649"/>
      <c r="D71" s="650" t="s">
        <v>1200</v>
      </c>
      <c r="E71" s="649" t="s">
        <v>57</v>
      </c>
      <c r="F71" s="651">
        <v>1.67</v>
      </c>
      <c r="G71" s="741">
        <v>0.04</v>
      </c>
      <c r="H71" s="657"/>
      <c r="I71" s="741">
        <f t="shared" si="14"/>
        <v>7.0000000000000007E-2</v>
      </c>
      <c r="J71" s="741"/>
      <c r="K71" s="741">
        <f t="shared" si="15"/>
        <v>7.0000000000000007E-2</v>
      </c>
      <c r="L71" s="741"/>
      <c r="M71" s="741"/>
      <c r="N71" s="741"/>
      <c r="O71" s="741"/>
      <c r="P71" s="741"/>
    </row>
    <row r="72" spans="1:16" s="648" customFormat="1" ht="12" x14ac:dyDescent="0.25">
      <c r="A72" s="649" t="s">
        <v>1142</v>
      </c>
      <c r="B72" s="649" t="s">
        <v>1191</v>
      </c>
      <c r="C72" s="649"/>
      <c r="D72" s="650" t="s">
        <v>1201</v>
      </c>
      <c r="E72" s="649" t="s">
        <v>57</v>
      </c>
      <c r="F72" s="651">
        <v>1.67</v>
      </c>
      <c r="G72" s="741">
        <v>0.03</v>
      </c>
      <c r="H72" s="657"/>
      <c r="I72" s="741">
        <f t="shared" si="14"/>
        <v>0.05</v>
      </c>
      <c r="J72" s="741"/>
      <c r="K72" s="741">
        <f t="shared" si="15"/>
        <v>0.05</v>
      </c>
      <c r="L72" s="741"/>
      <c r="M72" s="741"/>
      <c r="N72" s="741"/>
      <c r="O72" s="741"/>
      <c r="P72" s="741"/>
    </row>
    <row r="73" spans="1:16" s="648" customFormat="1" ht="12" x14ac:dyDescent="0.25">
      <c r="A73" s="649" t="s">
        <v>78</v>
      </c>
      <c r="B73" s="649">
        <v>2436</v>
      </c>
      <c r="C73" s="649"/>
      <c r="D73" s="650" t="s">
        <v>239</v>
      </c>
      <c r="E73" s="649" t="s">
        <v>42</v>
      </c>
      <c r="F73" s="651">
        <v>0.6</v>
      </c>
      <c r="G73" s="741">
        <v>13.2</v>
      </c>
      <c r="H73" s="657"/>
      <c r="I73" s="741"/>
      <c r="J73" s="741">
        <f>ROUND(F73*G73,2)</f>
        <v>7.92</v>
      </c>
      <c r="K73" s="741">
        <f t="shared" si="15"/>
        <v>7.92</v>
      </c>
      <c r="L73" s="741"/>
      <c r="M73" s="741"/>
      <c r="N73" s="741"/>
      <c r="O73" s="741"/>
      <c r="P73" s="741"/>
    </row>
    <row r="74" spans="1:16" s="648" customFormat="1" ht="12" x14ac:dyDescent="0.25">
      <c r="A74" s="649" t="s">
        <v>78</v>
      </c>
      <c r="B74" s="649">
        <v>247</v>
      </c>
      <c r="C74" s="649"/>
      <c r="D74" s="650" t="s">
        <v>1175</v>
      </c>
      <c r="E74" s="649" t="s">
        <v>42</v>
      </c>
      <c r="F74" s="651">
        <v>0.6</v>
      </c>
      <c r="G74" s="741">
        <v>9.52</v>
      </c>
      <c r="H74" s="657"/>
      <c r="I74" s="741"/>
      <c r="J74" s="741">
        <f>ROUND(F74*G74,2)</f>
        <v>5.71</v>
      </c>
      <c r="K74" s="741">
        <f t="shared" si="15"/>
        <v>5.71</v>
      </c>
      <c r="L74" s="741"/>
      <c r="M74" s="741"/>
      <c r="N74" s="741"/>
      <c r="O74" s="741"/>
      <c r="P74" s="741"/>
    </row>
    <row r="75" spans="1:16" s="648" customFormat="1" ht="12" x14ac:dyDescent="0.25">
      <c r="A75" s="667"/>
      <c r="B75" s="667"/>
      <c r="C75" s="667"/>
      <c r="D75" s="668"/>
      <c r="E75" s="667"/>
      <c r="F75" s="669"/>
      <c r="G75" s="747"/>
      <c r="H75" s="747"/>
      <c r="I75" s="747"/>
      <c r="J75" s="747"/>
      <c r="K75" s="747"/>
      <c r="L75" s="747"/>
      <c r="M75" s="747"/>
      <c r="N75" s="747"/>
      <c r="O75" s="747"/>
      <c r="P75" s="747"/>
    </row>
    <row r="76" spans="1:16" s="648" customFormat="1" ht="12" x14ac:dyDescent="0.25">
      <c r="A76" s="644"/>
      <c r="B76" s="644"/>
      <c r="C76" s="644" t="s">
        <v>1318</v>
      </c>
      <c r="D76" s="654" t="s">
        <v>1202</v>
      </c>
      <c r="E76" s="644" t="s">
        <v>56</v>
      </c>
      <c r="F76" s="646"/>
      <c r="G76" s="740"/>
      <c r="H76" s="740">
        <v>18</v>
      </c>
      <c r="I76" s="740">
        <f>SUM(I77:I88)</f>
        <v>17.93</v>
      </c>
      <c r="J76" s="740">
        <f>SUM(J77:J88)</f>
        <v>13.629999999999999</v>
      </c>
      <c r="K76" s="740">
        <f>I76+J76</f>
        <v>31.56</v>
      </c>
      <c r="L76" s="740">
        <f>ROUND(H76*I76,2)</f>
        <v>322.74</v>
      </c>
      <c r="M76" s="740">
        <f>ROUND(H76*J76,2)</f>
        <v>245.34</v>
      </c>
      <c r="N76" s="740">
        <f>L76+M76</f>
        <v>568.08000000000004</v>
      </c>
      <c r="O76" s="740">
        <f>ROUND(N76*$P$4,2)</f>
        <v>153.84</v>
      </c>
      <c r="P76" s="740">
        <f>N76+O76</f>
        <v>721.92000000000007</v>
      </c>
    </row>
    <row r="77" spans="1:16" s="648" customFormat="1" ht="12" customHeight="1" x14ac:dyDescent="0.25">
      <c r="A77" s="649" t="s">
        <v>1142</v>
      </c>
      <c r="B77" s="649" t="s">
        <v>1191</v>
      </c>
      <c r="C77" s="649"/>
      <c r="D77" s="650" t="s">
        <v>1203</v>
      </c>
      <c r="E77" s="649" t="s">
        <v>56</v>
      </c>
      <c r="F77" s="651">
        <v>1</v>
      </c>
      <c r="G77" s="741">
        <v>11.18</v>
      </c>
      <c r="H77" s="651"/>
      <c r="I77" s="741">
        <f>ROUND(F77*G77,2)</f>
        <v>11.18</v>
      </c>
      <c r="J77" s="741"/>
      <c r="K77" s="741">
        <f t="shared" ref="K77:K88" si="16">I77+J77</f>
        <v>11.18</v>
      </c>
      <c r="L77" s="741"/>
      <c r="M77" s="741"/>
      <c r="N77" s="741"/>
      <c r="O77" s="741"/>
      <c r="P77" s="741"/>
    </row>
    <row r="78" spans="1:16" s="648" customFormat="1" ht="12" x14ac:dyDescent="0.25">
      <c r="A78" s="649" t="s">
        <v>1142</v>
      </c>
      <c r="B78" s="649" t="s">
        <v>1191</v>
      </c>
      <c r="C78" s="649"/>
      <c r="D78" s="650" t="s">
        <v>1204</v>
      </c>
      <c r="E78" s="649" t="s">
        <v>57</v>
      </c>
      <c r="F78" s="651">
        <v>0.33</v>
      </c>
      <c r="G78" s="741">
        <v>4.53</v>
      </c>
      <c r="H78" s="651"/>
      <c r="I78" s="741">
        <f t="shared" ref="I78:I86" si="17">ROUND(F78*G78,2)</f>
        <v>1.49</v>
      </c>
      <c r="J78" s="741"/>
      <c r="K78" s="741">
        <f t="shared" si="16"/>
        <v>1.49</v>
      </c>
      <c r="L78" s="741"/>
      <c r="M78" s="741"/>
      <c r="N78" s="741"/>
      <c r="O78" s="741"/>
      <c r="P78" s="741"/>
    </row>
    <row r="79" spans="1:16" s="648" customFormat="1" ht="12" x14ac:dyDescent="0.25">
      <c r="A79" s="649" t="s">
        <v>1142</v>
      </c>
      <c r="B79" s="649" t="s">
        <v>1191</v>
      </c>
      <c r="C79" s="649"/>
      <c r="D79" s="650" t="s">
        <v>1205</v>
      </c>
      <c r="E79" s="649" t="s">
        <v>57</v>
      </c>
      <c r="F79" s="651">
        <v>0.67</v>
      </c>
      <c r="G79" s="741">
        <v>3.1</v>
      </c>
      <c r="H79" s="651"/>
      <c r="I79" s="741">
        <f t="shared" si="17"/>
        <v>2.08</v>
      </c>
      <c r="J79" s="741"/>
      <c r="K79" s="741">
        <f t="shared" si="16"/>
        <v>2.08</v>
      </c>
      <c r="L79" s="741"/>
      <c r="M79" s="741"/>
      <c r="N79" s="741"/>
      <c r="O79" s="741"/>
      <c r="P79" s="741"/>
    </row>
    <row r="80" spans="1:16" x14ac:dyDescent="0.25">
      <c r="A80" s="649" t="s">
        <v>1142</v>
      </c>
      <c r="B80" s="649" t="s">
        <v>1191</v>
      </c>
      <c r="C80" s="649"/>
      <c r="D80" s="650" t="s">
        <v>1195</v>
      </c>
      <c r="E80" s="649" t="s">
        <v>57</v>
      </c>
      <c r="F80" s="651">
        <v>0.67</v>
      </c>
      <c r="G80" s="741">
        <v>0.86</v>
      </c>
      <c r="H80" s="651"/>
      <c r="I80" s="741">
        <f t="shared" si="17"/>
        <v>0.57999999999999996</v>
      </c>
      <c r="J80" s="741"/>
      <c r="K80" s="741">
        <f t="shared" si="16"/>
        <v>0.57999999999999996</v>
      </c>
      <c r="L80" s="741"/>
      <c r="M80" s="741"/>
      <c r="N80" s="741"/>
      <c r="O80" s="741"/>
      <c r="P80" s="741"/>
    </row>
    <row r="81" spans="1:16" s="648" customFormat="1" ht="12" x14ac:dyDescent="0.25">
      <c r="A81" s="649" t="s">
        <v>1142</v>
      </c>
      <c r="B81" s="649" t="s">
        <v>1206</v>
      </c>
      <c r="C81" s="649"/>
      <c r="D81" s="650" t="s">
        <v>1196</v>
      </c>
      <c r="E81" s="649" t="s">
        <v>56</v>
      </c>
      <c r="F81" s="651">
        <v>0.2</v>
      </c>
      <c r="G81" s="741">
        <v>1.4</v>
      </c>
      <c r="H81" s="651"/>
      <c r="I81" s="741">
        <f t="shared" si="17"/>
        <v>0.28000000000000003</v>
      </c>
      <c r="J81" s="741"/>
      <c r="K81" s="741">
        <f t="shared" si="16"/>
        <v>0.28000000000000003</v>
      </c>
      <c r="L81" s="741"/>
      <c r="M81" s="741"/>
      <c r="N81" s="741"/>
      <c r="O81" s="741"/>
      <c r="P81" s="741"/>
    </row>
    <row r="82" spans="1:16" s="648" customFormat="1" ht="40.5" customHeight="1" x14ac:dyDescent="0.25">
      <c r="A82" s="649" t="s">
        <v>1142</v>
      </c>
      <c r="B82" s="649" t="s">
        <v>1191</v>
      </c>
      <c r="C82" s="649"/>
      <c r="D82" s="650" t="s">
        <v>1197</v>
      </c>
      <c r="E82" s="649" t="s">
        <v>57</v>
      </c>
      <c r="F82" s="651">
        <v>1</v>
      </c>
      <c r="G82" s="741">
        <v>0.78</v>
      </c>
      <c r="H82" s="651"/>
      <c r="I82" s="741">
        <f t="shared" si="17"/>
        <v>0.78</v>
      </c>
      <c r="J82" s="741"/>
      <c r="K82" s="741">
        <f t="shared" si="16"/>
        <v>0.78</v>
      </c>
      <c r="L82" s="741"/>
      <c r="M82" s="741"/>
      <c r="N82" s="741"/>
      <c r="O82" s="741"/>
      <c r="P82" s="741"/>
    </row>
    <row r="83" spans="1:16" s="648" customFormat="1" ht="12" x14ac:dyDescent="0.25">
      <c r="A83" s="649" t="s">
        <v>78</v>
      </c>
      <c r="B83" s="649">
        <v>4350</v>
      </c>
      <c r="C83" s="649"/>
      <c r="D83" s="650" t="s">
        <v>1198</v>
      </c>
      <c r="E83" s="649" t="s">
        <v>57</v>
      </c>
      <c r="F83" s="651">
        <v>1.33</v>
      </c>
      <c r="G83" s="741">
        <v>0.48</v>
      </c>
      <c r="H83" s="651"/>
      <c r="I83" s="741">
        <f t="shared" si="17"/>
        <v>0.64</v>
      </c>
      <c r="J83" s="741"/>
      <c r="K83" s="741">
        <f t="shared" si="16"/>
        <v>0.64</v>
      </c>
      <c r="L83" s="741"/>
      <c r="M83" s="741"/>
      <c r="N83" s="741"/>
      <c r="O83" s="741"/>
      <c r="P83" s="741"/>
    </row>
    <row r="84" spans="1:16" s="648" customFormat="1" ht="12" x14ac:dyDescent="0.25">
      <c r="A84" s="649" t="s">
        <v>1142</v>
      </c>
      <c r="B84" s="649" t="s">
        <v>1191</v>
      </c>
      <c r="C84" s="649"/>
      <c r="D84" s="650" t="s">
        <v>1199</v>
      </c>
      <c r="E84" s="649" t="s">
        <v>57</v>
      </c>
      <c r="F84" s="651">
        <v>6</v>
      </c>
      <c r="G84" s="741">
        <v>0.08</v>
      </c>
      <c r="H84" s="651"/>
      <c r="I84" s="741">
        <f t="shared" si="17"/>
        <v>0.48</v>
      </c>
      <c r="J84" s="741"/>
      <c r="K84" s="741">
        <f t="shared" si="16"/>
        <v>0.48</v>
      </c>
      <c r="L84" s="741"/>
      <c r="M84" s="741"/>
      <c r="N84" s="741"/>
      <c r="O84" s="741"/>
      <c r="P84" s="741"/>
    </row>
    <row r="85" spans="1:16" s="648" customFormat="1" ht="12" x14ac:dyDescent="0.25">
      <c r="A85" s="649" t="s">
        <v>1142</v>
      </c>
      <c r="B85" s="649" t="s">
        <v>1191</v>
      </c>
      <c r="C85" s="649"/>
      <c r="D85" s="650" t="s">
        <v>1200</v>
      </c>
      <c r="E85" s="649" t="s">
        <v>57</v>
      </c>
      <c r="F85" s="651">
        <v>6</v>
      </c>
      <c r="G85" s="741">
        <v>0.04</v>
      </c>
      <c r="H85" s="651"/>
      <c r="I85" s="741">
        <f t="shared" si="17"/>
        <v>0.24</v>
      </c>
      <c r="J85" s="741"/>
      <c r="K85" s="741">
        <f t="shared" si="16"/>
        <v>0.24</v>
      </c>
      <c r="L85" s="741"/>
      <c r="M85" s="741"/>
      <c r="N85" s="741"/>
      <c r="O85" s="741"/>
      <c r="P85" s="741"/>
    </row>
    <row r="86" spans="1:16" x14ac:dyDescent="0.25">
      <c r="A86" s="649" t="s">
        <v>1142</v>
      </c>
      <c r="B86" s="649" t="s">
        <v>1191</v>
      </c>
      <c r="C86" s="649"/>
      <c r="D86" s="650" t="s">
        <v>1201</v>
      </c>
      <c r="E86" s="649" t="s">
        <v>57</v>
      </c>
      <c r="F86" s="651">
        <v>6</v>
      </c>
      <c r="G86" s="741">
        <v>0.03</v>
      </c>
      <c r="H86" s="651"/>
      <c r="I86" s="741">
        <f t="shared" si="17"/>
        <v>0.18</v>
      </c>
      <c r="J86" s="741"/>
      <c r="K86" s="741">
        <f t="shared" si="16"/>
        <v>0.18</v>
      </c>
      <c r="L86" s="741"/>
      <c r="M86" s="741"/>
      <c r="N86" s="741"/>
      <c r="O86" s="741"/>
      <c r="P86" s="741"/>
    </row>
    <row r="87" spans="1:16" s="648" customFormat="1" ht="33" customHeight="1" x14ac:dyDescent="0.25">
      <c r="A87" s="649" t="s">
        <v>78</v>
      </c>
      <c r="B87" s="649">
        <v>2436</v>
      </c>
      <c r="C87" s="649"/>
      <c r="D87" s="650" t="s">
        <v>239</v>
      </c>
      <c r="E87" s="649" t="s">
        <v>42</v>
      </c>
      <c r="F87" s="651">
        <v>0.6</v>
      </c>
      <c r="G87" s="741">
        <v>13.2</v>
      </c>
      <c r="H87" s="651"/>
      <c r="I87" s="741"/>
      <c r="J87" s="741">
        <f>ROUND(F87*G87,2)</f>
        <v>7.92</v>
      </c>
      <c r="K87" s="741">
        <f t="shared" si="16"/>
        <v>7.92</v>
      </c>
      <c r="L87" s="741"/>
      <c r="M87" s="741"/>
      <c r="N87" s="741"/>
      <c r="O87" s="741"/>
      <c r="P87" s="741"/>
    </row>
    <row r="88" spans="1:16" s="648" customFormat="1" ht="12" x14ac:dyDescent="0.25">
      <c r="A88" s="649" t="s">
        <v>78</v>
      </c>
      <c r="B88" s="649">
        <v>247</v>
      </c>
      <c r="C88" s="649"/>
      <c r="D88" s="650" t="s">
        <v>1175</v>
      </c>
      <c r="E88" s="649" t="s">
        <v>42</v>
      </c>
      <c r="F88" s="651">
        <v>0.6</v>
      </c>
      <c r="G88" s="741">
        <v>9.52</v>
      </c>
      <c r="H88" s="651"/>
      <c r="I88" s="741"/>
      <c r="J88" s="741">
        <f>ROUND(F88*G88,2)</f>
        <v>5.71</v>
      </c>
      <c r="K88" s="741">
        <f t="shared" si="16"/>
        <v>5.71</v>
      </c>
      <c r="L88" s="741"/>
      <c r="M88" s="741"/>
      <c r="N88" s="741"/>
      <c r="O88" s="741"/>
      <c r="P88" s="741"/>
    </row>
    <row r="89" spans="1:16" s="648" customFormat="1" ht="12" x14ac:dyDescent="0.25">
      <c r="A89" s="667"/>
      <c r="B89" s="667"/>
      <c r="C89" s="667"/>
      <c r="D89" s="668"/>
      <c r="E89" s="667"/>
      <c r="F89" s="669"/>
      <c r="G89" s="747"/>
      <c r="H89" s="669"/>
      <c r="I89" s="747"/>
      <c r="J89" s="747"/>
      <c r="K89" s="747"/>
      <c r="L89" s="747"/>
      <c r="M89" s="747"/>
      <c r="N89" s="747"/>
      <c r="O89" s="747"/>
      <c r="P89" s="747"/>
    </row>
    <row r="90" spans="1:16" s="648" customFormat="1" ht="12" x14ac:dyDescent="0.25">
      <c r="A90" s="644"/>
      <c r="B90" s="644"/>
      <c r="C90" s="644" t="s">
        <v>1318</v>
      </c>
      <c r="D90" s="654" t="s">
        <v>1442</v>
      </c>
      <c r="E90" s="644" t="s">
        <v>56</v>
      </c>
      <c r="F90" s="646"/>
      <c r="G90" s="740"/>
      <c r="H90" s="740">
        <v>6</v>
      </c>
      <c r="I90" s="740">
        <f>SUM(I91:I93)</f>
        <v>17.37</v>
      </c>
      <c r="J90" s="740">
        <f t="shared" ref="J90:K90" si="18">SUM(J91:J93)</f>
        <v>13.629999999999999</v>
      </c>
      <c r="K90" s="740">
        <f t="shared" si="18"/>
        <v>31</v>
      </c>
      <c r="L90" s="740">
        <f>ROUND(H90*I90,2)</f>
        <v>104.22</v>
      </c>
      <c r="M90" s="740">
        <f>ROUND(H90*J90,2)</f>
        <v>81.78</v>
      </c>
      <c r="N90" s="740">
        <f>L90+M90</f>
        <v>186</v>
      </c>
      <c r="O90" s="740">
        <f>ROUND(N90*$P$4,2)</f>
        <v>50.37</v>
      </c>
      <c r="P90" s="740">
        <f>N90+O90</f>
        <v>236.37</v>
      </c>
    </row>
    <row r="91" spans="1:16" s="648" customFormat="1" ht="24" x14ac:dyDescent="0.25">
      <c r="A91" s="649" t="s">
        <v>1142</v>
      </c>
      <c r="B91" s="649" t="s">
        <v>1443</v>
      </c>
      <c r="C91" s="649"/>
      <c r="D91" s="650" t="s">
        <v>1203</v>
      </c>
      <c r="E91" s="649" t="s">
        <v>56</v>
      </c>
      <c r="F91" s="651">
        <v>1</v>
      </c>
      <c r="G91" s="741">
        <v>17.37</v>
      </c>
      <c r="H91" s="651"/>
      <c r="I91" s="741">
        <f>ROUND(F91*G91,2)</f>
        <v>17.37</v>
      </c>
      <c r="J91" s="741"/>
      <c r="K91" s="741">
        <f t="shared" ref="K91" si="19">I91+J91</f>
        <v>17.37</v>
      </c>
      <c r="L91" s="741"/>
      <c r="M91" s="741"/>
      <c r="N91" s="741"/>
      <c r="O91" s="741"/>
      <c r="P91" s="741"/>
    </row>
    <row r="92" spans="1:16" s="648" customFormat="1" ht="33" customHeight="1" x14ac:dyDescent="0.25">
      <c r="A92" s="649" t="s">
        <v>78</v>
      </c>
      <c r="B92" s="649">
        <v>2436</v>
      </c>
      <c r="C92" s="649"/>
      <c r="D92" s="650" t="s">
        <v>239</v>
      </c>
      <c r="E92" s="649" t="s">
        <v>42</v>
      </c>
      <c r="F92" s="651">
        <v>0.6</v>
      </c>
      <c r="G92" s="741">
        <v>13.2</v>
      </c>
      <c r="H92" s="651"/>
      <c r="I92" s="741"/>
      <c r="J92" s="741">
        <f>ROUND(F92*G92,2)</f>
        <v>7.92</v>
      </c>
      <c r="K92" s="741">
        <f t="shared" ref="K92:K93" si="20">I92+J92</f>
        <v>7.92</v>
      </c>
      <c r="L92" s="741"/>
      <c r="M92" s="741"/>
      <c r="N92" s="741"/>
      <c r="O92" s="741"/>
      <c r="P92" s="741"/>
    </row>
    <row r="93" spans="1:16" s="648" customFormat="1" ht="12" x14ac:dyDescent="0.25">
      <c r="A93" s="649" t="s">
        <v>78</v>
      </c>
      <c r="B93" s="649">
        <v>247</v>
      </c>
      <c r="C93" s="649"/>
      <c r="D93" s="650" t="s">
        <v>1175</v>
      </c>
      <c r="E93" s="649" t="s">
        <v>42</v>
      </c>
      <c r="F93" s="651">
        <v>0.6</v>
      </c>
      <c r="G93" s="741">
        <v>9.52</v>
      </c>
      <c r="H93" s="651"/>
      <c r="I93" s="741"/>
      <c r="J93" s="741">
        <f>ROUND(F93*G93,2)</f>
        <v>5.71</v>
      </c>
      <c r="K93" s="741">
        <f t="shared" si="20"/>
        <v>5.71</v>
      </c>
      <c r="L93" s="741"/>
      <c r="M93" s="741"/>
      <c r="N93" s="741"/>
      <c r="O93" s="741"/>
      <c r="P93" s="741"/>
    </row>
    <row r="94" spans="1:16" s="648" customFormat="1" ht="12" x14ac:dyDescent="0.25">
      <c r="A94" s="667"/>
      <c r="B94" s="667"/>
      <c r="C94" s="667"/>
      <c r="D94" s="668"/>
      <c r="E94" s="667"/>
      <c r="F94" s="669"/>
      <c r="G94" s="747"/>
      <c r="H94" s="669"/>
      <c r="I94" s="747"/>
      <c r="J94" s="747"/>
      <c r="K94" s="747"/>
      <c r="L94" s="747"/>
      <c r="M94" s="747"/>
      <c r="N94" s="747"/>
      <c r="O94" s="747"/>
      <c r="P94" s="747"/>
    </row>
    <row r="95" spans="1:16" s="648" customFormat="1" ht="24" x14ac:dyDescent="0.25">
      <c r="A95" s="644"/>
      <c r="B95" s="644"/>
      <c r="C95" s="644" t="s">
        <v>1318</v>
      </c>
      <c r="D95" s="654" t="str">
        <f>D96</f>
        <v xml:space="preserve">Conexão para eletrocalha diversas, #100x50mm tipo U chapa 18 AWG, pré-zincada à fogo. </v>
      </c>
      <c r="E95" s="644" t="s">
        <v>56</v>
      </c>
      <c r="F95" s="646"/>
      <c r="G95" s="740"/>
      <c r="H95" s="740">
        <v>3</v>
      </c>
      <c r="I95" s="740">
        <f>SUM(I96:I98)</f>
        <v>18</v>
      </c>
      <c r="J95" s="740">
        <f t="shared" ref="J95" si="21">SUM(J96:J98)</f>
        <v>13.629999999999999</v>
      </c>
      <c r="K95" s="740">
        <f t="shared" ref="K95" si="22">SUM(K96:K98)</f>
        <v>31.630000000000003</v>
      </c>
      <c r="L95" s="740">
        <f>ROUND(H95*I95,2)</f>
        <v>54</v>
      </c>
      <c r="M95" s="740">
        <f>ROUND(H95*J95,2)</f>
        <v>40.89</v>
      </c>
      <c r="N95" s="740">
        <f>L95+M95</f>
        <v>94.89</v>
      </c>
      <c r="O95" s="740">
        <f>ROUND(N95*$P$4,2)</f>
        <v>25.7</v>
      </c>
      <c r="P95" s="740">
        <f>N95+O95</f>
        <v>120.59</v>
      </c>
    </row>
    <row r="96" spans="1:16" s="648" customFormat="1" ht="24" x14ac:dyDescent="0.25">
      <c r="A96" s="649" t="s">
        <v>1142</v>
      </c>
      <c r="B96" s="649" t="s">
        <v>1445</v>
      </c>
      <c r="C96" s="649"/>
      <c r="D96" s="650" t="s">
        <v>1444</v>
      </c>
      <c r="E96" s="649" t="s">
        <v>56</v>
      </c>
      <c r="F96" s="651">
        <v>1</v>
      </c>
      <c r="G96" s="741">
        <v>18</v>
      </c>
      <c r="H96" s="651"/>
      <c r="I96" s="741">
        <f>ROUND(F96*G96,2)</f>
        <v>18</v>
      </c>
      <c r="J96" s="741"/>
      <c r="K96" s="741">
        <f t="shared" ref="K96:K98" si="23">I96+J96</f>
        <v>18</v>
      </c>
      <c r="L96" s="741"/>
      <c r="M96" s="741"/>
      <c r="N96" s="741"/>
      <c r="O96" s="741"/>
      <c r="P96" s="741"/>
    </row>
    <row r="97" spans="1:16" s="648" customFormat="1" ht="33" customHeight="1" x14ac:dyDescent="0.25">
      <c r="A97" s="649" t="s">
        <v>78</v>
      </c>
      <c r="B97" s="649">
        <v>2436</v>
      </c>
      <c r="C97" s="649"/>
      <c r="D97" s="650" t="s">
        <v>239</v>
      </c>
      <c r="E97" s="649" t="s">
        <v>42</v>
      </c>
      <c r="F97" s="651">
        <v>0.6</v>
      </c>
      <c r="G97" s="741">
        <v>13.2</v>
      </c>
      <c r="H97" s="651"/>
      <c r="I97" s="741"/>
      <c r="J97" s="741">
        <f>ROUND(F97*G97,2)</f>
        <v>7.92</v>
      </c>
      <c r="K97" s="741">
        <f t="shared" si="23"/>
        <v>7.92</v>
      </c>
      <c r="L97" s="741"/>
      <c r="M97" s="741"/>
      <c r="N97" s="741"/>
      <c r="O97" s="741"/>
      <c r="P97" s="741"/>
    </row>
    <row r="98" spans="1:16" s="648" customFormat="1" ht="12" x14ac:dyDescent="0.25">
      <c r="A98" s="649" t="s">
        <v>78</v>
      </c>
      <c r="B98" s="649">
        <v>247</v>
      </c>
      <c r="C98" s="649"/>
      <c r="D98" s="650" t="s">
        <v>1175</v>
      </c>
      <c r="E98" s="649" t="s">
        <v>42</v>
      </c>
      <c r="F98" s="651">
        <v>0.6</v>
      </c>
      <c r="G98" s="741">
        <v>9.52</v>
      </c>
      <c r="H98" s="651"/>
      <c r="I98" s="741"/>
      <c r="J98" s="741">
        <f>ROUND(F98*G98,2)</f>
        <v>5.71</v>
      </c>
      <c r="K98" s="741">
        <f t="shared" si="23"/>
        <v>5.71</v>
      </c>
      <c r="L98" s="741"/>
      <c r="M98" s="741"/>
      <c r="N98" s="741"/>
      <c r="O98" s="741"/>
      <c r="P98" s="741"/>
    </row>
    <row r="99" spans="1:16" s="648" customFormat="1" x14ac:dyDescent="0.25">
      <c r="A99"/>
      <c r="B99"/>
      <c r="C99"/>
      <c r="D99"/>
      <c r="E99"/>
      <c r="F99"/>
      <c r="G99"/>
      <c r="H99"/>
      <c r="I99"/>
      <c r="J99"/>
      <c r="K99"/>
      <c r="L99"/>
      <c r="M99"/>
      <c r="N99"/>
      <c r="O99"/>
      <c r="P99"/>
    </row>
    <row r="100" spans="1:16" s="648" customFormat="1" ht="12" x14ac:dyDescent="0.25">
      <c r="A100" s="644"/>
      <c r="B100" s="644"/>
      <c r="C100" s="644" t="s">
        <v>1319</v>
      </c>
      <c r="D100" s="654" t="s">
        <v>1207</v>
      </c>
      <c r="E100" s="644" t="s">
        <v>56</v>
      </c>
      <c r="F100" s="646" t="s">
        <v>1208</v>
      </c>
      <c r="G100" s="740"/>
      <c r="H100" s="740">
        <v>350</v>
      </c>
      <c r="I100" s="740">
        <f>SUM(I101:I104)</f>
        <v>0.94000000000000006</v>
      </c>
      <c r="J100" s="740">
        <f>SUM(J101:J104)</f>
        <v>2.5</v>
      </c>
      <c r="K100" s="740">
        <f>I100+J100</f>
        <v>3.44</v>
      </c>
      <c r="L100" s="740">
        <f>ROUND(H100*I100,2)</f>
        <v>329</v>
      </c>
      <c r="M100" s="740">
        <f>ROUND(H100*J100,2)</f>
        <v>875</v>
      </c>
      <c r="N100" s="740">
        <f>L100+M100</f>
        <v>1204</v>
      </c>
      <c r="O100" s="740">
        <f>ROUND(N100*$P$4,2)</f>
        <v>326.04000000000002</v>
      </c>
      <c r="P100" s="740">
        <f>N100+O100</f>
        <v>1530.04</v>
      </c>
    </row>
    <row r="101" spans="1:16" s="648" customFormat="1" ht="36" x14ac:dyDescent="0.25">
      <c r="A101" s="649" t="s">
        <v>79</v>
      </c>
      <c r="B101" s="649" t="s">
        <v>1209</v>
      </c>
      <c r="C101" s="649"/>
      <c r="D101" s="650" t="s">
        <v>1210</v>
      </c>
      <c r="E101" s="649" t="s">
        <v>56</v>
      </c>
      <c r="F101" s="651">
        <v>1.02</v>
      </c>
      <c r="G101" s="741">
        <v>0.9</v>
      </c>
      <c r="H101" s="657"/>
      <c r="I101" s="741">
        <f>ROUND(F101*G101,2)</f>
        <v>0.92</v>
      </c>
      <c r="J101" s="741"/>
      <c r="K101" s="741">
        <f t="shared" ref="K101:K104" si="24">I101+J101</f>
        <v>0.92</v>
      </c>
      <c r="L101" s="741"/>
      <c r="M101" s="741"/>
      <c r="N101" s="741"/>
      <c r="O101" s="741"/>
      <c r="P101" s="741"/>
    </row>
    <row r="102" spans="1:16" x14ac:dyDescent="0.25">
      <c r="A102" s="649" t="s">
        <v>78</v>
      </c>
      <c r="B102" s="649">
        <v>21127</v>
      </c>
      <c r="C102" s="649"/>
      <c r="D102" s="650" t="s">
        <v>1211</v>
      </c>
      <c r="E102" s="649" t="s">
        <v>56</v>
      </c>
      <c r="F102" s="651">
        <v>0.01</v>
      </c>
      <c r="G102" s="741">
        <v>1.77</v>
      </c>
      <c r="H102" s="657"/>
      <c r="I102" s="741">
        <f>ROUND(F102*G102,2)</f>
        <v>0.02</v>
      </c>
      <c r="J102" s="741"/>
      <c r="K102" s="741">
        <f t="shared" si="24"/>
        <v>0.02</v>
      </c>
      <c r="L102" s="741"/>
      <c r="M102" s="741"/>
      <c r="N102" s="741"/>
      <c r="O102" s="741"/>
      <c r="P102" s="741"/>
    </row>
    <row r="103" spans="1:16" s="648" customFormat="1" ht="30.75" customHeight="1" x14ac:dyDescent="0.25">
      <c r="A103" s="649" t="s">
        <v>78</v>
      </c>
      <c r="B103" s="649">
        <v>2436</v>
      </c>
      <c r="C103" s="649"/>
      <c r="D103" s="650" t="s">
        <v>239</v>
      </c>
      <c r="E103" s="649" t="s">
        <v>42</v>
      </c>
      <c r="F103" s="651">
        <v>0.11</v>
      </c>
      <c r="G103" s="741">
        <v>13.2</v>
      </c>
      <c r="H103" s="657"/>
      <c r="I103" s="741"/>
      <c r="J103" s="741">
        <f>ROUND(F103*G103,2)</f>
        <v>1.45</v>
      </c>
      <c r="K103" s="741">
        <f t="shared" si="24"/>
        <v>1.45</v>
      </c>
      <c r="L103" s="741"/>
      <c r="M103" s="741"/>
      <c r="N103" s="741"/>
      <c r="O103" s="741"/>
      <c r="P103" s="741"/>
    </row>
    <row r="104" spans="1:16" s="648" customFormat="1" ht="39.75" customHeight="1" x14ac:dyDescent="0.25">
      <c r="A104" s="649" t="s">
        <v>78</v>
      </c>
      <c r="B104" s="649">
        <v>247</v>
      </c>
      <c r="C104" s="649"/>
      <c r="D104" s="650" t="s">
        <v>1175</v>
      </c>
      <c r="E104" s="649" t="s">
        <v>42</v>
      </c>
      <c r="F104" s="651">
        <v>0.11</v>
      </c>
      <c r="G104" s="741">
        <v>9.52</v>
      </c>
      <c r="H104" s="657"/>
      <c r="I104" s="741"/>
      <c r="J104" s="741">
        <f>ROUND(F104*G104,2)</f>
        <v>1.05</v>
      </c>
      <c r="K104" s="741">
        <f t="shared" si="24"/>
        <v>1.05</v>
      </c>
      <c r="L104" s="741"/>
      <c r="M104" s="741"/>
      <c r="N104" s="741"/>
      <c r="O104" s="741"/>
      <c r="P104" s="741"/>
    </row>
    <row r="105" spans="1:16" s="648" customFormat="1" x14ac:dyDescent="0.25">
      <c r="A105"/>
      <c r="B105"/>
      <c r="C105"/>
      <c r="D105"/>
      <c r="E105"/>
      <c r="F105"/>
      <c r="G105"/>
      <c r="H105"/>
      <c r="I105"/>
      <c r="J105"/>
      <c r="K105"/>
      <c r="L105"/>
      <c r="M105"/>
      <c r="N105"/>
      <c r="O105"/>
      <c r="P105"/>
    </row>
    <row r="106" spans="1:16" s="648" customFormat="1" ht="24" x14ac:dyDescent="0.25">
      <c r="A106" s="644"/>
      <c r="B106" s="644"/>
      <c r="C106" s="644" t="s">
        <v>1320</v>
      </c>
      <c r="D106" s="654" t="s">
        <v>1212</v>
      </c>
      <c r="E106" s="644" t="s">
        <v>56</v>
      </c>
      <c r="F106" s="646" t="s">
        <v>1208</v>
      </c>
      <c r="G106" s="740"/>
      <c r="H106" s="740">
        <v>500</v>
      </c>
      <c r="I106" s="740">
        <f>SUM(I107:I110)</f>
        <v>5.7700000000000005</v>
      </c>
      <c r="J106" s="740">
        <f>SUM(J107:J110)</f>
        <v>3.63</v>
      </c>
      <c r="K106" s="740">
        <f t="shared" ref="K106:K110" si="25">I106+J106</f>
        <v>9.4</v>
      </c>
      <c r="L106" s="740">
        <f>ROUND(H106*I106,2)</f>
        <v>2885</v>
      </c>
      <c r="M106" s="740">
        <f>ROUND(H106*J106,2)</f>
        <v>1815</v>
      </c>
      <c r="N106" s="740">
        <f>L106+M106</f>
        <v>4700</v>
      </c>
      <c r="O106" s="740">
        <f>ROUND(N106*$P$4,2)</f>
        <v>1272.76</v>
      </c>
      <c r="P106" s="740">
        <f>N106+O106</f>
        <v>5972.76</v>
      </c>
    </row>
    <row r="107" spans="1:16" s="648" customFormat="1" ht="36" x14ac:dyDescent="0.25">
      <c r="A107" s="649" t="s">
        <v>79</v>
      </c>
      <c r="B107" s="649" t="s">
        <v>1213</v>
      </c>
      <c r="C107" s="649"/>
      <c r="D107" s="650" t="s">
        <v>1214</v>
      </c>
      <c r="E107" s="649" t="s">
        <v>56</v>
      </c>
      <c r="F107" s="651">
        <v>1.02</v>
      </c>
      <c r="G107" s="741">
        <v>5.63</v>
      </c>
      <c r="H107" s="657"/>
      <c r="I107" s="741">
        <f>ROUND(F107*G107,2)</f>
        <v>5.74</v>
      </c>
      <c r="J107" s="741"/>
      <c r="K107" s="741">
        <f t="shared" si="25"/>
        <v>5.74</v>
      </c>
      <c r="L107" s="741"/>
      <c r="M107" s="741"/>
      <c r="N107" s="741"/>
      <c r="O107" s="741"/>
      <c r="P107" s="741"/>
    </row>
    <row r="108" spans="1:16" x14ac:dyDescent="0.25">
      <c r="A108" s="649" t="s">
        <v>78</v>
      </c>
      <c r="B108" s="649">
        <v>404</v>
      </c>
      <c r="C108" s="649"/>
      <c r="D108" s="650" t="s">
        <v>1215</v>
      </c>
      <c r="E108" s="649" t="s">
        <v>56</v>
      </c>
      <c r="F108" s="651">
        <v>0.01</v>
      </c>
      <c r="G108" s="741">
        <v>2.7</v>
      </c>
      <c r="H108" s="657"/>
      <c r="I108" s="741">
        <f>ROUND(F108*G108,2)</f>
        <v>0.03</v>
      </c>
      <c r="J108" s="741"/>
      <c r="K108" s="741">
        <f t="shared" si="25"/>
        <v>0.03</v>
      </c>
      <c r="L108" s="741"/>
      <c r="M108" s="741"/>
      <c r="N108" s="741"/>
      <c r="O108" s="741"/>
      <c r="P108" s="741"/>
    </row>
    <row r="109" spans="1:16" x14ac:dyDescent="0.25">
      <c r="A109" s="649" t="s">
        <v>78</v>
      </c>
      <c r="B109" s="649">
        <v>2436</v>
      </c>
      <c r="C109" s="649"/>
      <c r="D109" s="650" t="s">
        <v>239</v>
      </c>
      <c r="E109" s="649" t="s">
        <v>42</v>
      </c>
      <c r="F109" s="651">
        <v>0.16</v>
      </c>
      <c r="G109" s="741">
        <v>13.2</v>
      </c>
      <c r="H109" s="657"/>
      <c r="I109" s="741"/>
      <c r="J109" s="741">
        <f>ROUND(F109*G109,2)</f>
        <v>2.11</v>
      </c>
      <c r="K109" s="741">
        <f t="shared" si="25"/>
        <v>2.11</v>
      </c>
      <c r="L109" s="741"/>
      <c r="M109" s="741"/>
      <c r="N109" s="741"/>
      <c r="O109" s="741"/>
      <c r="P109" s="741"/>
    </row>
    <row r="110" spans="1:16" s="648" customFormat="1" ht="12" x14ac:dyDescent="0.25">
      <c r="A110" s="649" t="s">
        <v>78</v>
      </c>
      <c r="B110" s="649">
        <v>247</v>
      </c>
      <c r="C110" s="649"/>
      <c r="D110" s="650" t="s">
        <v>1175</v>
      </c>
      <c r="E110" s="649" t="s">
        <v>42</v>
      </c>
      <c r="F110" s="651">
        <v>0.16</v>
      </c>
      <c r="G110" s="741">
        <v>9.52</v>
      </c>
      <c r="H110" s="657"/>
      <c r="I110" s="741"/>
      <c r="J110" s="741">
        <f>ROUND(F110*G110,2)</f>
        <v>1.52</v>
      </c>
      <c r="K110" s="741">
        <f t="shared" si="25"/>
        <v>1.52</v>
      </c>
      <c r="L110" s="741"/>
      <c r="M110" s="741"/>
      <c r="N110" s="741"/>
      <c r="O110" s="741"/>
      <c r="P110" s="741"/>
    </row>
    <row r="111" spans="1:16" s="648" customFormat="1" x14ac:dyDescent="0.25">
      <c r="A111"/>
      <c r="B111"/>
      <c r="C111"/>
      <c r="D111"/>
      <c r="E111"/>
      <c r="F111"/>
      <c r="G111"/>
      <c r="H111"/>
      <c r="I111"/>
      <c r="J111"/>
      <c r="K111"/>
      <c r="L111"/>
      <c r="M111"/>
      <c r="N111"/>
      <c r="O111"/>
      <c r="P111"/>
    </row>
    <row r="112" spans="1:16" s="648" customFormat="1" ht="24" x14ac:dyDescent="0.25">
      <c r="A112" s="644"/>
      <c r="B112" s="644"/>
      <c r="C112" s="644" t="s">
        <v>1321</v>
      </c>
      <c r="D112" s="654" t="s">
        <v>1216</v>
      </c>
      <c r="E112" s="644" t="s">
        <v>56</v>
      </c>
      <c r="F112" s="646" t="s">
        <v>1208</v>
      </c>
      <c r="G112" s="740"/>
      <c r="H112" s="740">
        <v>300</v>
      </c>
      <c r="I112" s="740">
        <f>SUM(I113:I116)</f>
        <v>1.66</v>
      </c>
      <c r="J112" s="740">
        <f>SUM(J113:J116)</f>
        <v>2.96</v>
      </c>
      <c r="K112" s="740">
        <f>I112+J112</f>
        <v>4.62</v>
      </c>
      <c r="L112" s="740">
        <f>ROUND(H112*I112,2)</f>
        <v>498</v>
      </c>
      <c r="M112" s="740">
        <f>ROUND(H112*J112,2)</f>
        <v>888</v>
      </c>
      <c r="N112" s="740">
        <f>L112+M112</f>
        <v>1386</v>
      </c>
      <c r="O112" s="740">
        <f>ROUND(N112*$P$4,2)</f>
        <v>375.33</v>
      </c>
      <c r="P112" s="740">
        <f>N112+O112</f>
        <v>1761.33</v>
      </c>
    </row>
    <row r="113" spans="1:16" s="648" customFormat="1" ht="36" x14ac:dyDescent="0.25">
      <c r="A113" s="649" t="s">
        <v>79</v>
      </c>
      <c r="B113" s="649" t="s">
        <v>1217</v>
      </c>
      <c r="C113" s="649"/>
      <c r="D113" s="650" t="s">
        <v>1218</v>
      </c>
      <c r="E113" s="649" t="s">
        <v>56</v>
      </c>
      <c r="F113" s="651">
        <v>1.02</v>
      </c>
      <c r="G113" s="741">
        <v>1.61</v>
      </c>
      <c r="H113" s="657"/>
      <c r="I113" s="741">
        <f>ROUND(F113*G113,2)</f>
        <v>1.64</v>
      </c>
      <c r="J113" s="741"/>
      <c r="K113" s="741">
        <f t="shared" ref="K113:K116" si="26">I113+J113</f>
        <v>1.64</v>
      </c>
      <c r="L113" s="741"/>
      <c r="M113" s="741"/>
      <c r="N113" s="741"/>
      <c r="O113" s="741"/>
      <c r="P113" s="741"/>
    </row>
    <row r="114" spans="1:16" s="648" customFormat="1" ht="12" x14ac:dyDescent="0.25">
      <c r="A114" s="649" t="s">
        <v>78</v>
      </c>
      <c r="B114" s="649">
        <v>21127</v>
      </c>
      <c r="C114" s="649"/>
      <c r="D114" s="650" t="s">
        <v>1211</v>
      </c>
      <c r="E114" s="649" t="s">
        <v>56</v>
      </c>
      <c r="F114" s="651">
        <v>0.01</v>
      </c>
      <c r="G114" s="741">
        <v>1.77</v>
      </c>
      <c r="H114" s="657"/>
      <c r="I114" s="741">
        <f>ROUND(F114*G114,2)</f>
        <v>0.02</v>
      </c>
      <c r="J114" s="741"/>
      <c r="K114" s="741">
        <f t="shared" si="26"/>
        <v>0.02</v>
      </c>
      <c r="L114" s="741"/>
      <c r="M114" s="741"/>
      <c r="N114" s="741"/>
      <c r="O114" s="741"/>
      <c r="P114" s="741"/>
    </row>
    <row r="115" spans="1:16" s="648" customFormat="1" ht="12" x14ac:dyDescent="0.25">
      <c r="A115" s="649" t="s">
        <v>78</v>
      </c>
      <c r="B115" s="649">
        <v>2436</v>
      </c>
      <c r="C115" s="649"/>
      <c r="D115" s="650" t="s">
        <v>239</v>
      </c>
      <c r="E115" s="649" t="s">
        <v>42</v>
      </c>
      <c r="F115" s="651">
        <v>0.13</v>
      </c>
      <c r="G115" s="741">
        <v>13.2</v>
      </c>
      <c r="H115" s="657"/>
      <c r="I115" s="741"/>
      <c r="J115" s="741">
        <f>ROUND(F115*G115,2)</f>
        <v>1.72</v>
      </c>
      <c r="K115" s="741">
        <f t="shared" si="26"/>
        <v>1.72</v>
      </c>
      <c r="L115" s="741"/>
      <c r="M115" s="741"/>
      <c r="N115" s="741"/>
      <c r="O115" s="741"/>
      <c r="P115" s="741"/>
    </row>
    <row r="116" spans="1:16" s="648" customFormat="1" ht="12" x14ac:dyDescent="0.25">
      <c r="A116" s="649" t="s">
        <v>78</v>
      </c>
      <c r="B116" s="649">
        <v>247</v>
      </c>
      <c r="C116" s="649"/>
      <c r="D116" s="650" t="s">
        <v>1175</v>
      </c>
      <c r="E116" s="649" t="s">
        <v>42</v>
      </c>
      <c r="F116" s="651">
        <v>0.13</v>
      </c>
      <c r="G116" s="741">
        <v>9.52</v>
      </c>
      <c r="H116" s="657"/>
      <c r="I116" s="741"/>
      <c r="J116" s="741">
        <f>ROUND(F116*G116,2)</f>
        <v>1.24</v>
      </c>
      <c r="K116" s="741">
        <f t="shared" si="26"/>
        <v>1.24</v>
      </c>
      <c r="L116" s="741"/>
      <c r="M116" s="741"/>
      <c r="N116" s="741"/>
      <c r="O116" s="741"/>
      <c r="P116" s="741"/>
    </row>
    <row r="117" spans="1:16" s="648" customFormat="1" ht="12" x14ac:dyDescent="0.25">
      <c r="A117" s="667"/>
      <c r="B117" s="667"/>
      <c r="C117" s="667"/>
      <c r="D117" s="668"/>
      <c r="E117" s="667"/>
      <c r="F117" s="669"/>
      <c r="G117" s="747"/>
      <c r="H117" s="708"/>
      <c r="I117" s="747"/>
      <c r="J117" s="747"/>
      <c r="K117" s="747"/>
      <c r="L117" s="747"/>
      <c r="M117" s="747"/>
      <c r="N117" s="747"/>
      <c r="O117" s="747"/>
      <c r="P117" s="747"/>
    </row>
    <row r="118" spans="1:16" s="648" customFormat="1" ht="24" x14ac:dyDescent="0.25">
      <c r="A118" s="644"/>
      <c r="B118" s="644"/>
      <c r="C118" s="644" t="s">
        <v>1321</v>
      </c>
      <c r="D118" s="654" t="str">
        <f>D119</f>
        <v>Cabo PP DE COMANDO 2x1 mm²,  utilizado para alarme de nivel alto do reservatório de esgoto e  comando das bombas.</v>
      </c>
      <c r="E118" s="644" t="s">
        <v>56</v>
      </c>
      <c r="F118" s="646" t="s">
        <v>1208</v>
      </c>
      <c r="G118" s="740"/>
      <c r="H118" s="740">
        <v>60</v>
      </c>
      <c r="I118" s="740">
        <f>SUM(I119:I122)</f>
        <v>1.1100000000000001</v>
      </c>
      <c r="J118" s="740">
        <f>SUM(J119:J122)</f>
        <v>2.96</v>
      </c>
      <c r="K118" s="740">
        <f>I118+J118</f>
        <v>4.07</v>
      </c>
      <c r="L118" s="740">
        <f>ROUND(H118*I118,2)</f>
        <v>66.599999999999994</v>
      </c>
      <c r="M118" s="740">
        <f>ROUND(H118*J118,2)</f>
        <v>177.6</v>
      </c>
      <c r="N118" s="740">
        <f>L118+M118</f>
        <v>244.2</v>
      </c>
      <c r="O118" s="740">
        <f>ROUND(N118*$P$4,2)</f>
        <v>66.13</v>
      </c>
      <c r="P118" s="740">
        <f>N118+O118</f>
        <v>310.33</v>
      </c>
    </row>
    <row r="119" spans="1:16" ht="24" x14ac:dyDescent="0.25">
      <c r="A119" s="649" t="s">
        <v>80</v>
      </c>
      <c r="B119" s="649" t="s">
        <v>1434</v>
      </c>
      <c r="C119" s="649"/>
      <c r="D119" s="650" t="s">
        <v>1435</v>
      </c>
      <c r="E119" s="649" t="s">
        <v>56</v>
      </c>
      <c r="F119" s="651">
        <v>1.02</v>
      </c>
      <c r="G119" s="741">
        <v>1.07</v>
      </c>
      <c r="H119" s="657"/>
      <c r="I119" s="741">
        <f>ROUND(F119*G119,2)</f>
        <v>1.0900000000000001</v>
      </c>
      <c r="J119" s="741"/>
      <c r="K119" s="741">
        <f t="shared" ref="K119:K122" si="27">I119+J119</f>
        <v>1.0900000000000001</v>
      </c>
      <c r="L119" s="741"/>
      <c r="M119" s="741"/>
      <c r="N119" s="741"/>
      <c r="O119" s="741"/>
      <c r="P119" s="741"/>
    </row>
    <row r="120" spans="1:16" s="648" customFormat="1" ht="12" x14ac:dyDescent="0.25">
      <c r="A120" s="649" t="s">
        <v>78</v>
      </c>
      <c r="B120" s="649">
        <v>21127</v>
      </c>
      <c r="C120" s="649"/>
      <c r="D120" s="650" t="s">
        <v>1211</v>
      </c>
      <c r="E120" s="649" t="s">
        <v>56</v>
      </c>
      <c r="F120" s="651">
        <v>0.01</v>
      </c>
      <c r="G120" s="741">
        <v>1.77</v>
      </c>
      <c r="H120" s="657"/>
      <c r="I120" s="741">
        <f>ROUND(F120*G120,2)</f>
        <v>0.02</v>
      </c>
      <c r="J120" s="741"/>
      <c r="K120" s="741">
        <f t="shared" si="27"/>
        <v>0.02</v>
      </c>
      <c r="L120" s="741"/>
      <c r="M120" s="741"/>
      <c r="N120" s="741"/>
      <c r="O120" s="741"/>
      <c r="P120" s="741"/>
    </row>
    <row r="121" spans="1:16" s="648" customFormat="1" ht="12" x14ac:dyDescent="0.25">
      <c r="A121" s="649" t="s">
        <v>78</v>
      </c>
      <c r="B121" s="649">
        <v>2436</v>
      </c>
      <c r="C121" s="649"/>
      <c r="D121" s="650" t="s">
        <v>239</v>
      </c>
      <c r="E121" s="649" t="s">
        <v>42</v>
      </c>
      <c r="F121" s="651">
        <v>0.13</v>
      </c>
      <c r="G121" s="741">
        <v>13.2</v>
      </c>
      <c r="H121" s="657"/>
      <c r="I121" s="741"/>
      <c r="J121" s="741">
        <f>ROUND(F121*G121,2)</f>
        <v>1.72</v>
      </c>
      <c r="K121" s="741">
        <f t="shared" si="27"/>
        <v>1.72</v>
      </c>
      <c r="L121" s="741"/>
      <c r="M121" s="741"/>
      <c r="N121" s="741"/>
      <c r="O121" s="741"/>
      <c r="P121" s="741"/>
    </row>
    <row r="122" spans="1:16" s="648" customFormat="1" ht="12" x14ac:dyDescent="0.25">
      <c r="A122" s="649" t="s">
        <v>78</v>
      </c>
      <c r="B122" s="649">
        <v>247</v>
      </c>
      <c r="C122" s="649"/>
      <c r="D122" s="650" t="s">
        <v>1175</v>
      </c>
      <c r="E122" s="649" t="s">
        <v>42</v>
      </c>
      <c r="F122" s="651">
        <v>0.13</v>
      </c>
      <c r="G122" s="741">
        <v>9.52</v>
      </c>
      <c r="H122" s="657"/>
      <c r="I122" s="741"/>
      <c r="J122" s="741">
        <f>ROUND(F122*G122,2)</f>
        <v>1.24</v>
      </c>
      <c r="K122" s="741">
        <f t="shared" si="27"/>
        <v>1.24</v>
      </c>
      <c r="L122" s="741"/>
      <c r="M122" s="741"/>
      <c r="N122" s="741"/>
      <c r="O122" s="741"/>
      <c r="P122" s="741"/>
    </row>
    <row r="123" spans="1:16" s="648" customFormat="1" x14ac:dyDescent="0.25">
      <c r="A123"/>
      <c r="B123"/>
      <c r="C123"/>
      <c r="D123"/>
      <c r="E123"/>
      <c r="F123"/>
      <c r="G123"/>
      <c r="H123"/>
      <c r="I123"/>
      <c r="J123"/>
      <c r="K123"/>
      <c r="L123"/>
      <c r="M123"/>
      <c r="N123"/>
      <c r="O123"/>
      <c r="P123"/>
    </row>
    <row r="124" spans="1:16" s="648" customFormat="1" ht="12" x14ac:dyDescent="0.25">
      <c r="A124" s="644"/>
      <c r="B124" s="644"/>
      <c r="C124" s="644" t="s">
        <v>1322</v>
      </c>
      <c r="D124" s="654" t="s">
        <v>1219</v>
      </c>
      <c r="E124" s="644" t="s">
        <v>57</v>
      </c>
      <c r="F124" s="646"/>
      <c r="G124" s="740"/>
      <c r="H124" s="740">
        <v>4</v>
      </c>
      <c r="I124" s="740">
        <f>SUM(I125:I127)</f>
        <v>6.55</v>
      </c>
      <c r="J124" s="740">
        <f>SUM(J125:J127)</f>
        <v>4.7699999999999996</v>
      </c>
      <c r="K124" s="740">
        <f>I124+J124</f>
        <v>11.32</v>
      </c>
      <c r="L124" s="740">
        <f>ROUND(H124*I124,2)</f>
        <v>26.2</v>
      </c>
      <c r="M124" s="740">
        <f>ROUND(H124*J124,2)</f>
        <v>19.079999999999998</v>
      </c>
      <c r="N124" s="740">
        <f>L124+M124</f>
        <v>45.28</v>
      </c>
      <c r="O124" s="740">
        <f>ROUND(N124*$P$4,2)</f>
        <v>12.26</v>
      </c>
      <c r="P124" s="740">
        <f>N124+O124</f>
        <v>57.54</v>
      </c>
    </row>
    <row r="125" spans="1:16" s="648" customFormat="1" ht="36" x14ac:dyDescent="0.25">
      <c r="A125" s="649" t="s">
        <v>1142</v>
      </c>
      <c r="B125" s="649" t="s">
        <v>1220</v>
      </c>
      <c r="C125" s="649"/>
      <c r="D125" s="650" t="s">
        <v>1221</v>
      </c>
      <c r="E125" s="649" t="s">
        <v>57</v>
      </c>
      <c r="F125" s="651">
        <v>1</v>
      </c>
      <c r="G125" s="741">
        <v>6.55</v>
      </c>
      <c r="H125" s="657"/>
      <c r="I125" s="741">
        <f>ROUND(F125*G125,2)</f>
        <v>6.55</v>
      </c>
      <c r="J125" s="741"/>
      <c r="K125" s="741">
        <f t="shared" ref="K125:K132" si="28">I125+J125</f>
        <v>6.55</v>
      </c>
      <c r="L125" s="741"/>
      <c r="M125" s="741"/>
      <c r="N125" s="741"/>
      <c r="O125" s="741"/>
      <c r="P125" s="741"/>
    </row>
    <row r="126" spans="1:16" s="648" customFormat="1" ht="12" x14ac:dyDescent="0.25">
      <c r="A126" s="649" t="s">
        <v>78</v>
      </c>
      <c r="B126" s="649">
        <v>2436</v>
      </c>
      <c r="C126" s="649"/>
      <c r="D126" s="650" t="s">
        <v>239</v>
      </c>
      <c r="E126" s="649" t="s">
        <v>42</v>
      </c>
      <c r="F126" s="651">
        <v>0.21</v>
      </c>
      <c r="G126" s="741">
        <v>13.2</v>
      </c>
      <c r="H126" s="657"/>
      <c r="I126" s="741"/>
      <c r="J126" s="741">
        <f>ROUND(F126*G126,2)</f>
        <v>2.77</v>
      </c>
      <c r="K126" s="741">
        <f t="shared" si="28"/>
        <v>2.77</v>
      </c>
      <c r="L126" s="741"/>
      <c r="M126" s="741"/>
      <c r="N126" s="741"/>
      <c r="O126" s="741"/>
      <c r="P126" s="741"/>
    </row>
    <row r="127" spans="1:16" s="648" customFormat="1" ht="12" x14ac:dyDescent="0.25">
      <c r="A127" s="649" t="s">
        <v>78</v>
      </c>
      <c r="B127" s="649">
        <v>247</v>
      </c>
      <c r="C127" s="649"/>
      <c r="D127" s="650" t="s">
        <v>1175</v>
      </c>
      <c r="E127" s="649" t="s">
        <v>42</v>
      </c>
      <c r="F127" s="651">
        <v>0.21</v>
      </c>
      <c r="G127" s="741">
        <v>9.52</v>
      </c>
      <c r="H127" s="657"/>
      <c r="I127" s="741"/>
      <c r="J127" s="741">
        <f>ROUND(F127*G127,2)</f>
        <v>2</v>
      </c>
      <c r="K127" s="741">
        <f t="shared" si="28"/>
        <v>2</v>
      </c>
      <c r="L127" s="741"/>
      <c r="M127" s="741"/>
      <c r="N127" s="741"/>
      <c r="O127" s="741"/>
      <c r="P127" s="741"/>
    </row>
    <row r="128" spans="1:16" s="648" customFormat="1" ht="12" x14ac:dyDescent="0.25">
      <c r="A128" s="649"/>
      <c r="B128" s="649"/>
      <c r="C128" s="649"/>
      <c r="D128" s="650"/>
      <c r="E128" s="649"/>
      <c r="F128" s="651"/>
      <c r="G128" s="741"/>
      <c r="H128" s="657"/>
      <c r="I128" s="741"/>
      <c r="J128" s="741"/>
      <c r="K128" s="741"/>
      <c r="L128" s="741"/>
      <c r="M128" s="741"/>
      <c r="N128" s="741"/>
      <c r="O128" s="741"/>
      <c r="P128" s="741"/>
    </row>
    <row r="129" spans="1:16" s="648" customFormat="1" ht="12" x14ac:dyDescent="0.25">
      <c r="A129" s="644"/>
      <c r="B129" s="644"/>
      <c r="C129" s="644" t="s">
        <v>1323</v>
      </c>
      <c r="D129" s="654" t="s">
        <v>1222</v>
      </c>
      <c r="E129" s="644" t="s">
        <v>57</v>
      </c>
      <c r="F129" s="646"/>
      <c r="G129" s="740"/>
      <c r="H129" s="740">
        <v>10</v>
      </c>
      <c r="I129" s="740">
        <f>SUM(I130:I132)</f>
        <v>11.94</v>
      </c>
      <c r="J129" s="740">
        <f>SUM(J130:J132)</f>
        <v>8.4</v>
      </c>
      <c r="K129" s="740">
        <f>I129+J129</f>
        <v>20.34</v>
      </c>
      <c r="L129" s="740">
        <f>ROUND(H129*I129,2)</f>
        <v>119.4</v>
      </c>
      <c r="M129" s="740">
        <f>ROUND(H129*J129,2)</f>
        <v>84</v>
      </c>
      <c r="N129" s="740">
        <f>L129+M129</f>
        <v>203.4</v>
      </c>
      <c r="O129" s="740">
        <f>ROUND(N129*$P$4,2)</f>
        <v>55.08</v>
      </c>
      <c r="P129" s="740">
        <f>N129+O129</f>
        <v>258.48</v>
      </c>
    </row>
    <row r="130" spans="1:16" s="648" customFormat="1" ht="36" x14ac:dyDescent="0.25">
      <c r="A130" s="649" t="s">
        <v>1142</v>
      </c>
      <c r="B130" s="649" t="s">
        <v>1220</v>
      </c>
      <c r="C130" s="649"/>
      <c r="D130" s="650" t="s">
        <v>1223</v>
      </c>
      <c r="E130" s="649" t="s">
        <v>57</v>
      </c>
      <c r="F130" s="651">
        <v>1</v>
      </c>
      <c r="G130" s="741">
        <f>3.04+2*4.45</f>
        <v>11.940000000000001</v>
      </c>
      <c r="H130" s="657"/>
      <c r="I130" s="741">
        <f>ROUND(F130*G130,2)</f>
        <v>11.94</v>
      </c>
      <c r="J130" s="741"/>
      <c r="K130" s="741">
        <f t="shared" si="28"/>
        <v>11.94</v>
      </c>
      <c r="L130" s="741"/>
      <c r="M130" s="741"/>
      <c r="N130" s="741"/>
      <c r="O130" s="741"/>
      <c r="P130" s="741"/>
    </row>
    <row r="131" spans="1:16" s="648" customFormat="1" ht="12" x14ac:dyDescent="0.25">
      <c r="A131" s="649" t="s">
        <v>78</v>
      </c>
      <c r="B131" s="649">
        <v>2436</v>
      </c>
      <c r="C131" s="649"/>
      <c r="D131" s="650" t="s">
        <v>239</v>
      </c>
      <c r="E131" s="649" t="s">
        <v>42</v>
      </c>
      <c r="F131" s="651">
        <v>0.37</v>
      </c>
      <c r="G131" s="741">
        <v>13.2</v>
      </c>
      <c r="H131" s="657"/>
      <c r="I131" s="741"/>
      <c r="J131" s="741">
        <f>ROUND(F131*G131,2)</f>
        <v>4.88</v>
      </c>
      <c r="K131" s="741">
        <f t="shared" si="28"/>
        <v>4.88</v>
      </c>
      <c r="L131" s="741"/>
      <c r="M131" s="741"/>
      <c r="N131" s="741"/>
      <c r="O131" s="741"/>
      <c r="P131" s="741"/>
    </row>
    <row r="132" spans="1:16" s="648" customFormat="1" ht="12" x14ac:dyDescent="0.25">
      <c r="A132" s="649" t="s">
        <v>78</v>
      </c>
      <c r="B132" s="649">
        <v>247</v>
      </c>
      <c r="C132" s="649"/>
      <c r="D132" s="650" t="s">
        <v>1175</v>
      </c>
      <c r="E132" s="649" t="s">
        <v>42</v>
      </c>
      <c r="F132" s="651">
        <v>0.37</v>
      </c>
      <c r="G132" s="741">
        <v>9.52</v>
      </c>
      <c r="H132" s="657"/>
      <c r="I132" s="741"/>
      <c r="J132" s="741">
        <f>ROUND(F132*G132,2)</f>
        <v>3.52</v>
      </c>
      <c r="K132" s="741">
        <f t="shared" si="28"/>
        <v>3.52</v>
      </c>
      <c r="L132" s="741"/>
      <c r="M132" s="741"/>
      <c r="N132" s="741"/>
      <c r="O132" s="741"/>
      <c r="P132" s="741"/>
    </row>
    <row r="133" spans="1:16" s="648" customFormat="1" x14ac:dyDescent="0.25">
      <c r="A133"/>
      <c r="B133"/>
      <c r="C133"/>
      <c r="D133"/>
      <c r="E133"/>
      <c r="F133"/>
      <c r="G133"/>
      <c r="H133"/>
      <c r="I133"/>
      <c r="J133"/>
      <c r="K133"/>
      <c r="L133"/>
      <c r="M133"/>
      <c r="N133"/>
      <c r="O133"/>
      <c r="P133"/>
    </row>
    <row r="134" spans="1:16" s="648" customFormat="1" ht="12" x14ac:dyDescent="0.25">
      <c r="A134" s="644"/>
      <c r="B134" s="644"/>
      <c r="C134" s="644" t="s">
        <v>1324</v>
      </c>
      <c r="D134" s="654" t="s">
        <v>1224</v>
      </c>
      <c r="E134" s="644" t="s">
        <v>57</v>
      </c>
      <c r="F134" s="646"/>
      <c r="G134" s="740"/>
      <c r="H134" s="740">
        <v>2</v>
      </c>
      <c r="I134" s="740">
        <f>SUM(I135:I137)</f>
        <v>9.7799999999999994</v>
      </c>
      <c r="J134" s="740">
        <f>SUM(J135:J137)</f>
        <v>6.59</v>
      </c>
      <c r="K134" s="740">
        <f>I134+J134</f>
        <v>16.369999999999997</v>
      </c>
      <c r="L134" s="740">
        <f>ROUND(H134*I134,2)</f>
        <v>19.559999999999999</v>
      </c>
      <c r="M134" s="740">
        <f>ROUND(H134*J134,2)</f>
        <v>13.18</v>
      </c>
      <c r="N134" s="740">
        <f>L134+M134</f>
        <v>32.739999999999995</v>
      </c>
      <c r="O134" s="740">
        <f>ROUND(N134*$P$4,2)</f>
        <v>8.8699999999999992</v>
      </c>
      <c r="P134" s="740">
        <f>N134+O134</f>
        <v>41.609999999999992</v>
      </c>
    </row>
    <row r="135" spans="1:16" s="648" customFormat="1" ht="36" x14ac:dyDescent="0.25">
      <c r="A135" s="649" t="s">
        <v>1142</v>
      </c>
      <c r="B135" s="649" t="s">
        <v>1220</v>
      </c>
      <c r="C135" s="649"/>
      <c r="D135" s="650" t="s">
        <v>1225</v>
      </c>
      <c r="E135" s="649" t="s">
        <v>57</v>
      </c>
      <c r="F135" s="651">
        <v>1</v>
      </c>
      <c r="G135" s="741">
        <f>6.74+3.04</f>
        <v>9.7800000000000011</v>
      </c>
      <c r="H135" s="657"/>
      <c r="I135" s="741">
        <f>ROUND(F135*G135,2)</f>
        <v>9.7799999999999994</v>
      </c>
      <c r="J135" s="741"/>
      <c r="K135" s="741">
        <f t="shared" ref="K135:K137" si="29">I135+J135</f>
        <v>9.7799999999999994</v>
      </c>
      <c r="L135" s="741"/>
      <c r="M135" s="741"/>
      <c r="N135" s="741"/>
      <c r="O135" s="741"/>
      <c r="P135" s="741"/>
    </row>
    <row r="136" spans="1:16" s="648" customFormat="1" ht="12" x14ac:dyDescent="0.25">
      <c r="A136" s="649" t="s">
        <v>78</v>
      </c>
      <c r="B136" s="649">
        <v>2436</v>
      </c>
      <c r="C136" s="649"/>
      <c r="D136" s="650" t="s">
        <v>239</v>
      </c>
      <c r="E136" s="649" t="s">
        <v>42</v>
      </c>
      <c r="F136" s="651">
        <v>0.28999999999999998</v>
      </c>
      <c r="G136" s="741">
        <v>13.2</v>
      </c>
      <c r="H136" s="657"/>
      <c r="I136" s="741"/>
      <c r="J136" s="741">
        <f>ROUND(F136*G136,2)</f>
        <v>3.83</v>
      </c>
      <c r="K136" s="741">
        <f t="shared" si="29"/>
        <v>3.83</v>
      </c>
      <c r="L136" s="741"/>
      <c r="M136" s="741"/>
      <c r="N136" s="741"/>
      <c r="O136" s="741"/>
      <c r="P136" s="741"/>
    </row>
    <row r="137" spans="1:16" s="648" customFormat="1" ht="12" x14ac:dyDescent="0.25">
      <c r="A137" s="649" t="s">
        <v>78</v>
      </c>
      <c r="B137" s="649">
        <v>247</v>
      </c>
      <c r="C137" s="649"/>
      <c r="D137" s="650" t="s">
        <v>1175</v>
      </c>
      <c r="E137" s="649" t="s">
        <v>42</v>
      </c>
      <c r="F137" s="651">
        <v>0.28999999999999998</v>
      </c>
      <c r="G137" s="741">
        <v>9.52</v>
      </c>
      <c r="H137" s="657"/>
      <c r="I137" s="741"/>
      <c r="J137" s="741">
        <f>ROUND(F137*G137,2)</f>
        <v>2.76</v>
      </c>
      <c r="K137" s="741">
        <f t="shared" si="29"/>
        <v>2.76</v>
      </c>
      <c r="L137" s="741"/>
      <c r="M137" s="741"/>
      <c r="N137" s="741"/>
      <c r="O137" s="741"/>
      <c r="P137" s="741"/>
    </row>
    <row r="138" spans="1:16" s="648" customFormat="1" ht="12" x14ac:dyDescent="0.25">
      <c r="A138" s="667"/>
      <c r="B138" s="667"/>
      <c r="C138" s="667"/>
      <c r="D138" s="668"/>
      <c r="E138" s="667"/>
      <c r="F138" s="669"/>
      <c r="G138" s="747"/>
      <c r="H138" s="747"/>
      <c r="I138" s="747"/>
      <c r="J138" s="747"/>
      <c r="K138" s="747"/>
      <c r="L138" s="747"/>
      <c r="M138" s="747"/>
      <c r="N138" s="747"/>
      <c r="O138" s="747"/>
      <c r="P138" s="747"/>
    </row>
    <row r="139" spans="1:16" s="648" customFormat="1" ht="12" x14ac:dyDescent="0.25">
      <c r="A139" s="644"/>
      <c r="B139" s="644"/>
      <c r="C139" s="644" t="s">
        <v>1325</v>
      </c>
      <c r="D139" s="654" t="s">
        <v>1226</v>
      </c>
      <c r="E139" s="644" t="s">
        <v>57</v>
      </c>
      <c r="F139" s="646"/>
      <c r="G139" s="740"/>
      <c r="H139" s="646">
        <v>8</v>
      </c>
      <c r="I139" s="740">
        <f>SUM(I140:I142)</f>
        <v>16.52</v>
      </c>
      <c r="J139" s="740">
        <f>SUM(J140:J142)</f>
        <v>8.4</v>
      </c>
      <c r="K139" s="740">
        <f>I139+J139</f>
        <v>24.92</v>
      </c>
      <c r="L139" s="740">
        <f>ROUND(H139*I139,2)</f>
        <v>132.16</v>
      </c>
      <c r="M139" s="740">
        <f>ROUND(H139*J139,2)</f>
        <v>67.2</v>
      </c>
      <c r="N139" s="740">
        <f>L139+M139</f>
        <v>199.36</v>
      </c>
      <c r="O139" s="740">
        <f>ROUND(N139*$P$4,2)</f>
        <v>53.99</v>
      </c>
      <c r="P139" s="740">
        <f>N139+O139</f>
        <v>253.35000000000002</v>
      </c>
    </row>
    <row r="140" spans="1:16" s="648" customFormat="1" ht="24" x14ac:dyDescent="0.25">
      <c r="A140" s="649" t="s">
        <v>1142</v>
      </c>
      <c r="B140" s="649" t="s">
        <v>1220</v>
      </c>
      <c r="C140" s="649"/>
      <c r="D140" s="650" t="s">
        <v>1227</v>
      </c>
      <c r="E140" s="649" t="s">
        <v>57</v>
      </c>
      <c r="F140" s="651">
        <v>1</v>
      </c>
      <c r="G140" s="741">
        <f>2*6.74+3.04</f>
        <v>16.52</v>
      </c>
      <c r="H140" s="651"/>
      <c r="I140" s="741">
        <f>ROUND(F140*G140,2)</f>
        <v>16.52</v>
      </c>
      <c r="J140" s="741"/>
      <c r="K140" s="741">
        <f t="shared" ref="K140:K142" si="30">I140+J140</f>
        <v>16.52</v>
      </c>
      <c r="L140" s="741"/>
      <c r="M140" s="741"/>
      <c r="N140" s="741"/>
      <c r="O140" s="741"/>
      <c r="P140" s="741"/>
    </row>
    <row r="141" spans="1:16" s="648" customFormat="1" ht="12" x14ac:dyDescent="0.25">
      <c r="A141" s="649" t="s">
        <v>78</v>
      </c>
      <c r="B141" s="649">
        <v>2436</v>
      </c>
      <c r="C141" s="649"/>
      <c r="D141" s="650" t="s">
        <v>239</v>
      </c>
      <c r="E141" s="649" t="s">
        <v>42</v>
      </c>
      <c r="F141" s="651">
        <v>0.37</v>
      </c>
      <c r="G141" s="741">
        <v>13.2</v>
      </c>
      <c r="H141" s="651"/>
      <c r="I141" s="741"/>
      <c r="J141" s="741">
        <f>ROUND(F141*G141,2)</f>
        <v>4.88</v>
      </c>
      <c r="K141" s="741">
        <f t="shared" si="30"/>
        <v>4.88</v>
      </c>
      <c r="L141" s="741"/>
      <c r="M141" s="741"/>
      <c r="N141" s="741"/>
      <c r="O141" s="741"/>
      <c r="P141" s="741"/>
    </row>
    <row r="142" spans="1:16" s="648" customFormat="1" ht="12" x14ac:dyDescent="0.25">
      <c r="A142" s="649" t="s">
        <v>78</v>
      </c>
      <c r="B142" s="649">
        <v>247</v>
      </c>
      <c r="C142" s="649"/>
      <c r="D142" s="650" t="s">
        <v>1175</v>
      </c>
      <c r="E142" s="649" t="s">
        <v>42</v>
      </c>
      <c r="F142" s="651">
        <v>0.37</v>
      </c>
      <c r="G142" s="741">
        <v>9.52</v>
      </c>
      <c r="H142" s="651"/>
      <c r="I142" s="741"/>
      <c r="J142" s="741">
        <f>ROUND(F142*G142,2)</f>
        <v>3.52</v>
      </c>
      <c r="K142" s="741">
        <f t="shared" si="30"/>
        <v>3.52</v>
      </c>
      <c r="L142" s="741"/>
      <c r="M142" s="741"/>
      <c r="N142" s="741"/>
      <c r="O142" s="741"/>
      <c r="P142" s="741"/>
    </row>
    <row r="143" spans="1:16" s="648" customFormat="1" ht="12" x14ac:dyDescent="0.25">
      <c r="A143" s="667"/>
      <c r="B143" s="667"/>
      <c r="C143" s="667"/>
      <c r="D143" s="668"/>
      <c r="E143" s="667"/>
      <c r="F143" s="669"/>
      <c r="G143" s="747"/>
      <c r="H143" s="669"/>
      <c r="I143" s="747"/>
      <c r="J143" s="747"/>
      <c r="K143" s="747"/>
      <c r="L143" s="747"/>
      <c r="M143" s="747"/>
      <c r="N143" s="747"/>
      <c r="O143" s="747"/>
      <c r="P143" s="747"/>
    </row>
    <row r="144" spans="1:16" ht="24" x14ac:dyDescent="0.25">
      <c r="A144" s="644"/>
      <c r="B144" s="644"/>
      <c r="C144" s="644" t="s">
        <v>1326</v>
      </c>
      <c r="D144" s="654" t="s">
        <v>1228</v>
      </c>
      <c r="E144" s="644" t="s">
        <v>57</v>
      </c>
      <c r="F144" s="646"/>
      <c r="G144" s="740"/>
      <c r="H144" s="740">
        <v>2</v>
      </c>
      <c r="I144" s="740">
        <f>SUM(I145:I147)</f>
        <v>185</v>
      </c>
      <c r="J144" s="740">
        <f>SUM(J145:J147)</f>
        <v>18.18</v>
      </c>
      <c r="K144" s="740">
        <f>I144+J144</f>
        <v>203.18</v>
      </c>
      <c r="L144" s="740">
        <f>ROUND(H144*I144,2)</f>
        <v>370</v>
      </c>
      <c r="M144" s="740">
        <f>ROUND(H144*J144,2)</f>
        <v>36.36</v>
      </c>
      <c r="N144" s="740">
        <f>L144+M144</f>
        <v>406.36</v>
      </c>
      <c r="O144" s="740">
        <f>ROUND(N144*$P$4,2)</f>
        <v>110.04</v>
      </c>
      <c r="P144" s="740">
        <f>N144+O144</f>
        <v>516.4</v>
      </c>
    </row>
    <row r="145" spans="1:16" s="648" customFormat="1" ht="36" x14ac:dyDescent="0.25">
      <c r="A145" s="649" t="s">
        <v>1142</v>
      </c>
      <c r="B145" s="649"/>
      <c r="C145" s="649"/>
      <c r="D145" s="650" t="s">
        <v>1229</v>
      </c>
      <c r="E145" s="649" t="s">
        <v>57</v>
      </c>
      <c r="F145" s="651">
        <v>1</v>
      </c>
      <c r="G145" s="741">
        <v>185</v>
      </c>
      <c r="H145" s="657"/>
      <c r="I145" s="741">
        <f>ROUND(F145*G145,2)</f>
        <v>185</v>
      </c>
      <c r="J145" s="741"/>
      <c r="K145" s="741">
        <f t="shared" ref="K145:K147" si="31">I145+J145</f>
        <v>185</v>
      </c>
      <c r="L145" s="741"/>
      <c r="M145" s="741"/>
      <c r="N145" s="741"/>
      <c r="O145" s="741"/>
      <c r="P145" s="741"/>
    </row>
    <row r="146" spans="1:16" s="648" customFormat="1" ht="12" x14ac:dyDescent="0.25">
      <c r="A146" s="649" t="s">
        <v>78</v>
      </c>
      <c r="B146" s="649">
        <v>2436</v>
      </c>
      <c r="C146" s="649"/>
      <c r="D146" s="650" t="s">
        <v>239</v>
      </c>
      <c r="E146" s="649" t="s">
        <v>42</v>
      </c>
      <c r="F146" s="651">
        <v>0.8</v>
      </c>
      <c r="G146" s="741">
        <v>13.2</v>
      </c>
      <c r="H146" s="657"/>
      <c r="I146" s="741"/>
      <c r="J146" s="741">
        <f>ROUND(F146*G146,2)</f>
        <v>10.56</v>
      </c>
      <c r="K146" s="741">
        <f t="shared" si="31"/>
        <v>10.56</v>
      </c>
      <c r="L146" s="741"/>
      <c r="M146" s="741"/>
      <c r="N146" s="741"/>
      <c r="O146" s="741"/>
      <c r="P146" s="741"/>
    </row>
    <row r="147" spans="1:16" s="648" customFormat="1" ht="12" x14ac:dyDescent="0.25">
      <c r="A147" s="649" t="s">
        <v>78</v>
      </c>
      <c r="B147" s="649">
        <v>247</v>
      </c>
      <c r="C147" s="649"/>
      <c r="D147" s="650" t="s">
        <v>1175</v>
      </c>
      <c r="E147" s="649" t="s">
        <v>42</v>
      </c>
      <c r="F147" s="651">
        <v>0.8</v>
      </c>
      <c r="G147" s="741">
        <v>9.52</v>
      </c>
      <c r="H147" s="657"/>
      <c r="I147" s="741"/>
      <c r="J147" s="741">
        <f>ROUND(F147*G147,2)</f>
        <v>7.62</v>
      </c>
      <c r="K147" s="741">
        <f t="shared" si="31"/>
        <v>7.62</v>
      </c>
      <c r="L147" s="741"/>
      <c r="M147" s="741"/>
      <c r="N147" s="741"/>
      <c r="O147" s="741"/>
      <c r="P147" s="741"/>
    </row>
    <row r="148" spans="1:16" s="648" customFormat="1" ht="12" x14ac:dyDescent="0.25">
      <c r="A148" s="667"/>
      <c r="B148" s="667"/>
      <c r="C148" s="667"/>
      <c r="D148" s="668"/>
      <c r="E148" s="667"/>
      <c r="F148" s="669"/>
      <c r="G148" s="747"/>
      <c r="H148" s="747"/>
      <c r="I148" s="747"/>
      <c r="J148" s="747"/>
      <c r="K148" s="747"/>
      <c r="L148" s="747"/>
      <c r="M148" s="747"/>
      <c r="N148" s="747"/>
      <c r="O148" s="747"/>
      <c r="P148" s="747"/>
    </row>
    <row r="149" spans="1:16" ht="24" x14ac:dyDescent="0.25">
      <c r="A149" s="644"/>
      <c r="B149" s="644"/>
      <c r="C149" s="644" t="s">
        <v>1327</v>
      </c>
      <c r="D149" s="654" t="s">
        <v>1230</v>
      </c>
      <c r="E149" s="644" t="s">
        <v>57</v>
      </c>
      <c r="F149" s="646"/>
      <c r="G149" s="740"/>
      <c r="H149" s="740">
        <v>9</v>
      </c>
      <c r="I149" s="740">
        <f>SUM(I150:I157)</f>
        <v>68.740000000000009</v>
      </c>
      <c r="J149" s="740">
        <f>SUM(J150:J157)</f>
        <v>22.72</v>
      </c>
      <c r="K149" s="740">
        <f>I149+J149</f>
        <v>91.460000000000008</v>
      </c>
      <c r="L149" s="740">
        <f>ROUND(H149*I149,2)</f>
        <v>618.66</v>
      </c>
      <c r="M149" s="740">
        <f>ROUND(H149*J149,2)</f>
        <v>204.48</v>
      </c>
      <c r="N149" s="740">
        <f>L149+M149</f>
        <v>823.14</v>
      </c>
      <c r="O149" s="740">
        <f>ROUND(N149*$P$4,2)</f>
        <v>222.91</v>
      </c>
      <c r="P149" s="740">
        <f>N149+O149</f>
        <v>1046.05</v>
      </c>
    </row>
    <row r="150" spans="1:16" s="648" customFormat="1" ht="48" x14ac:dyDescent="0.25">
      <c r="A150" s="649" t="s">
        <v>1142</v>
      </c>
      <c r="B150" s="655" t="s">
        <v>1231</v>
      </c>
      <c r="C150" s="649"/>
      <c r="D150" s="650" t="s">
        <v>1232</v>
      </c>
      <c r="E150" s="649" t="s">
        <v>57</v>
      </c>
      <c r="F150" s="651">
        <v>1</v>
      </c>
      <c r="G150" s="742">
        <v>34.5</v>
      </c>
      <c r="H150" s="657"/>
      <c r="I150" s="741">
        <f t="shared" ref="I150:I155" si="32">ROUND(F150*G150,2)</f>
        <v>34.5</v>
      </c>
      <c r="J150" s="741"/>
      <c r="K150" s="741">
        <f t="shared" ref="K150:K157" si="33">I150+J150</f>
        <v>34.5</v>
      </c>
      <c r="L150" s="741"/>
      <c r="M150" s="741"/>
      <c r="N150" s="741"/>
      <c r="O150" s="741"/>
      <c r="P150" s="741"/>
    </row>
    <row r="151" spans="1:16" s="648" customFormat="1" ht="24" x14ac:dyDescent="0.25">
      <c r="A151" s="649" t="s">
        <v>1142</v>
      </c>
      <c r="B151" s="649" t="s">
        <v>1233</v>
      </c>
      <c r="C151" s="649"/>
      <c r="D151" s="650" t="s">
        <v>1234</v>
      </c>
      <c r="E151" s="649" t="s">
        <v>57</v>
      </c>
      <c r="F151" s="651">
        <v>2</v>
      </c>
      <c r="G151" s="741">
        <v>10.6</v>
      </c>
      <c r="H151" s="657"/>
      <c r="I151" s="741">
        <f t="shared" si="32"/>
        <v>21.2</v>
      </c>
      <c r="J151" s="741"/>
      <c r="K151" s="741">
        <f t="shared" si="33"/>
        <v>21.2</v>
      </c>
      <c r="L151" s="741"/>
      <c r="M151" s="741"/>
      <c r="N151" s="741"/>
      <c r="O151" s="741"/>
      <c r="P151" s="741"/>
    </row>
    <row r="152" spans="1:16" s="648" customFormat="1" ht="12" x14ac:dyDescent="0.25">
      <c r="A152" s="649" t="s">
        <v>1142</v>
      </c>
      <c r="B152" s="649" t="s">
        <v>1235</v>
      </c>
      <c r="C152" s="649"/>
      <c r="D152" s="650" t="s">
        <v>1236</v>
      </c>
      <c r="E152" s="649" t="s">
        <v>57</v>
      </c>
      <c r="F152" s="651">
        <v>1</v>
      </c>
      <c r="G152" s="741">
        <v>1.45</v>
      </c>
      <c r="H152" s="657"/>
      <c r="I152" s="741">
        <f t="shared" si="32"/>
        <v>1.45</v>
      </c>
      <c r="J152" s="741"/>
      <c r="K152" s="741">
        <f t="shared" si="33"/>
        <v>1.45</v>
      </c>
      <c r="L152" s="741"/>
      <c r="M152" s="741"/>
      <c r="N152" s="741"/>
      <c r="O152" s="741"/>
      <c r="P152" s="741"/>
    </row>
    <row r="153" spans="1:16" s="648" customFormat="1" ht="12" x14ac:dyDescent="0.25">
      <c r="A153" s="649" t="s">
        <v>1142</v>
      </c>
      <c r="B153" s="649" t="s">
        <v>1237</v>
      </c>
      <c r="C153" s="649"/>
      <c r="D153" s="650" t="s">
        <v>1238</v>
      </c>
      <c r="E153" s="649" t="s">
        <v>57</v>
      </c>
      <c r="F153" s="651">
        <v>1</v>
      </c>
      <c r="G153" s="741">
        <v>4.17</v>
      </c>
      <c r="H153" s="657"/>
      <c r="I153" s="741">
        <f t="shared" si="32"/>
        <v>4.17</v>
      </c>
      <c r="J153" s="741"/>
      <c r="K153" s="741">
        <f t="shared" si="33"/>
        <v>4.17</v>
      </c>
      <c r="L153" s="741"/>
      <c r="M153" s="741"/>
      <c r="N153" s="741"/>
      <c r="O153" s="741"/>
      <c r="P153" s="741"/>
    </row>
    <row r="154" spans="1:16" s="648" customFormat="1" ht="12" x14ac:dyDescent="0.25">
      <c r="A154" s="649" t="s">
        <v>1142</v>
      </c>
      <c r="B154" s="649" t="s">
        <v>1237</v>
      </c>
      <c r="C154" s="649"/>
      <c r="D154" s="650" t="s">
        <v>1239</v>
      </c>
      <c r="E154" s="649" t="s">
        <v>57</v>
      </c>
      <c r="F154" s="651">
        <v>1</v>
      </c>
      <c r="G154" s="741">
        <v>4.22</v>
      </c>
      <c r="H154" s="657"/>
      <c r="I154" s="741">
        <f t="shared" si="32"/>
        <v>4.22</v>
      </c>
      <c r="J154" s="741"/>
      <c r="K154" s="741">
        <f t="shared" si="33"/>
        <v>4.22</v>
      </c>
      <c r="L154" s="741"/>
      <c r="M154" s="741"/>
      <c r="N154" s="741"/>
      <c r="O154" s="741"/>
      <c r="P154" s="741"/>
    </row>
    <row r="155" spans="1:16" s="648" customFormat="1" ht="12" x14ac:dyDescent="0.25">
      <c r="A155" s="649" t="s">
        <v>1142</v>
      </c>
      <c r="B155" s="649" t="s">
        <v>1240</v>
      </c>
      <c r="C155" s="649"/>
      <c r="D155" s="650" t="s">
        <v>1241</v>
      </c>
      <c r="E155" s="649" t="s">
        <v>56</v>
      </c>
      <c r="F155" s="651">
        <v>2</v>
      </c>
      <c r="G155" s="741">
        <v>1.6</v>
      </c>
      <c r="H155" s="657"/>
      <c r="I155" s="741">
        <f t="shared" si="32"/>
        <v>3.2</v>
      </c>
      <c r="J155" s="741"/>
      <c r="K155" s="741">
        <f t="shared" si="33"/>
        <v>3.2</v>
      </c>
      <c r="L155" s="741"/>
      <c r="M155" s="741"/>
      <c r="N155" s="741"/>
      <c r="O155" s="741"/>
      <c r="P155" s="741"/>
    </row>
    <row r="156" spans="1:16" s="648" customFormat="1" ht="12" x14ac:dyDescent="0.25">
      <c r="A156" s="649" t="s">
        <v>78</v>
      </c>
      <c r="B156" s="649">
        <v>2436</v>
      </c>
      <c r="C156" s="649"/>
      <c r="D156" s="650" t="s">
        <v>239</v>
      </c>
      <c r="E156" s="649" t="s">
        <v>42</v>
      </c>
      <c r="F156" s="651">
        <v>1</v>
      </c>
      <c r="G156" s="741">
        <v>13.2</v>
      </c>
      <c r="H156" s="657"/>
      <c r="I156" s="741"/>
      <c r="J156" s="741">
        <f>ROUND(F156*G156,2)</f>
        <v>13.2</v>
      </c>
      <c r="K156" s="741">
        <f t="shared" si="33"/>
        <v>13.2</v>
      </c>
      <c r="L156" s="741"/>
      <c r="M156" s="741"/>
      <c r="N156" s="741"/>
      <c r="O156" s="741"/>
      <c r="P156" s="741"/>
    </row>
    <row r="157" spans="1:16" s="648" customFormat="1" ht="12" x14ac:dyDescent="0.25">
      <c r="A157" s="649" t="s">
        <v>78</v>
      </c>
      <c r="B157" s="649">
        <v>247</v>
      </c>
      <c r="C157" s="649"/>
      <c r="D157" s="650" t="s">
        <v>1175</v>
      </c>
      <c r="E157" s="649" t="s">
        <v>42</v>
      </c>
      <c r="F157" s="651">
        <v>1</v>
      </c>
      <c r="G157" s="741">
        <v>9.52</v>
      </c>
      <c r="H157" s="657"/>
      <c r="I157" s="741"/>
      <c r="J157" s="741">
        <f>ROUND(F157*G157,2)</f>
        <v>9.52</v>
      </c>
      <c r="K157" s="741">
        <f t="shared" si="33"/>
        <v>9.52</v>
      </c>
      <c r="L157" s="741"/>
      <c r="M157" s="741"/>
      <c r="N157" s="741"/>
      <c r="O157" s="741"/>
      <c r="P157" s="741"/>
    </row>
    <row r="158" spans="1:16" s="648" customFormat="1" x14ac:dyDescent="0.25">
      <c r="A158"/>
      <c r="B158"/>
      <c r="C158"/>
      <c r="D158"/>
      <c r="E158"/>
      <c r="F158"/>
      <c r="G158"/>
      <c r="H158"/>
      <c r="I158"/>
      <c r="J158"/>
      <c r="K158"/>
      <c r="L158"/>
      <c r="M158"/>
      <c r="N158"/>
      <c r="O158"/>
      <c r="P158"/>
    </row>
    <row r="159" spans="1:16" s="648" customFormat="1" ht="24" x14ac:dyDescent="0.25">
      <c r="A159" s="644"/>
      <c r="B159" s="644"/>
      <c r="C159" s="644" t="s">
        <v>1328</v>
      </c>
      <c r="D159" s="654" t="s">
        <v>1242</v>
      </c>
      <c r="E159" s="644" t="s">
        <v>57</v>
      </c>
      <c r="F159" s="646"/>
      <c r="G159" s="740"/>
      <c r="H159" s="740">
        <v>3</v>
      </c>
      <c r="I159" s="740">
        <f>SUM(I160:I162)</f>
        <v>48.8</v>
      </c>
      <c r="J159" s="740">
        <f>SUM(J160:J162)</f>
        <v>22.72</v>
      </c>
      <c r="K159" s="740">
        <f>I159+J159</f>
        <v>71.52</v>
      </c>
      <c r="L159" s="740">
        <f>ROUND(H159*I159,2)</f>
        <v>146.4</v>
      </c>
      <c r="M159" s="740">
        <f>ROUND(H159*J159,2)</f>
        <v>68.16</v>
      </c>
      <c r="N159" s="740">
        <f>L159+M159</f>
        <v>214.56</v>
      </c>
      <c r="O159" s="740">
        <f>ROUND(N159*$P$4,2)</f>
        <v>58.1</v>
      </c>
      <c r="P159" s="740">
        <f>N159+O159</f>
        <v>272.66000000000003</v>
      </c>
    </row>
    <row r="160" spans="1:16" s="648" customFormat="1" ht="48" x14ac:dyDescent="0.25">
      <c r="A160" s="649" t="s">
        <v>78</v>
      </c>
      <c r="B160" s="649">
        <v>3799</v>
      </c>
      <c r="C160" s="649"/>
      <c r="D160" s="650" t="s">
        <v>1243</v>
      </c>
      <c r="E160" s="649" t="s">
        <v>57</v>
      </c>
      <c r="F160" s="651">
        <v>1</v>
      </c>
      <c r="G160" s="741">
        <v>48.8</v>
      </c>
      <c r="H160" s="657"/>
      <c r="I160" s="741">
        <f>ROUND(F160*G160,2)</f>
        <v>48.8</v>
      </c>
      <c r="J160" s="741"/>
      <c r="K160" s="741">
        <f>I160+J160</f>
        <v>48.8</v>
      </c>
      <c r="L160" s="741"/>
      <c r="M160" s="741"/>
      <c r="N160" s="741"/>
      <c r="O160" s="741"/>
      <c r="P160" s="741"/>
    </row>
    <row r="161" spans="1:16" s="648" customFormat="1" ht="12" x14ac:dyDescent="0.25">
      <c r="A161" s="649" t="s">
        <v>78</v>
      </c>
      <c r="B161" s="649">
        <v>2436</v>
      </c>
      <c r="C161" s="649"/>
      <c r="D161" s="650" t="s">
        <v>239</v>
      </c>
      <c r="E161" s="649" t="s">
        <v>42</v>
      </c>
      <c r="F161" s="651">
        <v>1</v>
      </c>
      <c r="G161" s="741">
        <v>13.2</v>
      </c>
      <c r="H161" s="657"/>
      <c r="I161" s="741"/>
      <c r="J161" s="741">
        <f>ROUND(F161*G161,2)</f>
        <v>13.2</v>
      </c>
      <c r="K161" s="741">
        <f t="shared" ref="K161:K162" si="34">I161+J161</f>
        <v>13.2</v>
      </c>
      <c r="L161" s="741"/>
      <c r="M161" s="741"/>
      <c r="N161" s="741"/>
      <c r="O161" s="741"/>
      <c r="P161" s="741"/>
    </row>
    <row r="162" spans="1:16" x14ac:dyDescent="0.25">
      <c r="A162" s="649" t="s">
        <v>78</v>
      </c>
      <c r="B162" s="649">
        <v>247</v>
      </c>
      <c r="C162" s="649"/>
      <c r="D162" s="650" t="s">
        <v>1175</v>
      </c>
      <c r="E162" s="649" t="s">
        <v>42</v>
      </c>
      <c r="F162" s="651">
        <v>1</v>
      </c>
      <c r="G162" s="741">
        <v>9.52</v>
      </c>
      <c r="H162" s="657"/>
      <c r="I162" s="741"/>
      <c r="J162" s="741">
        <f>ROUND(F162*G162,2)</f>
        <v>9.52</v>
      </c>
      <c r="K162" s="741">
        <f t="shared" si="34"/>
        <v>9.52</v>
      </c>
      <c r="L162" s="741"/>
      <c r="M162" s="741"/>
      <c r="N162" s="741"/>
      <c r="O162" s="741"/>
      <c r="P162" s="741"/>
    </row>
    <row r="163" spans="1:16" s="648" customFormat="1" x14ac:dyDescent="0.25">
      <c r="A163"/>
      <c r="B163"/>
      <c r="C163"/>
      <c r="D163"/>
      <c r="E163"/>
      <c r="F163"/>
      <c r="G163"/>
      <c r="H163"/>
      <c r="I163"/>
      <c r="J163"/>
      <c r="K163"/>
      <c r="L163"/>
      <c r="M163"/>
      <c r="N163"/>
      <c r="O163"/>
      <c r="P163"/>
    </row>
    <row r="164" spans="1:16" s="648" customFormat="1" ht="12" x14ac:dyDescent="0.25">
      <c r="A164" s="644"/>
      <c r="B164" s="644"/>
      <c r="C164" s="644" t="s">
        <v>1329</v>
      </c>
      <c r="D164" s="654" t="s">
        <v>1244</v>
      </c>
      <c r="E164" s="644" t="s">
        <v>57</v>
      </c>
      <c r="F164" s="646"/>
      <c r="G164" s="740"/>
      <c r="H164" s="740">
        <v>1</v>
      </c>
      <c r="I164" s="740">
        <f>SUM(I165:I175)</f>
        <v>1235.08</v>
      </c>
      <c r="J164" s="740">
        <f>SUM(J165:J175)</f>
        <v>198.16</v>
      </c>
      <c r="K164" s="740">
        <f>I164+J164</f>
        <v>1433.24</v>
      </c>
      <c r="L164" s="740">
        <f>ROUND(H164*I164,2)</f>
        <v>1235.08</v>
      </c>
      <c r="M164" s="740">
        <f>ROUND(H164*J164,2)</f>
        <v>198.16</v>
      </c>
      <c r="N164" s="740">
        <f>L164+M164</f>
        <v>1433.24</v>
      </c>
      <c r="O164" s="740">
        <f>ROUND(N164*$P$4,2)</f>
        <v>388.12</v>
      </c>
      <c r="P164" s="740">
        <f>N164+O164</f>
        <v>1821.3600000000001</v>
      </c>
    </row>
    <row r="165" spans="1:16" s="648" customFormat="1" ht="84" x14ac:dyDescent="0.25">
      <c r="A165" s="649" t="s">
        <v>79</v>
      </c>
      <c r="B165" s="649" t="s">
        <v>1245</v>
      </c>
      <c r="C165" s="649"/>
      <c r="D165" s="650" t="s">
        <v>1246</v>
      </c>
      <c r="E165" s="649" t="s">
        <v>57</v>
      </c>
      <c r="F165" s="651">
        <v>1</v>
      </c>
      <c r="G165" s="741">
        <v>488.89</v>
      </c>
      <c r="H165" s="657"/>
      <c r="I165" s="741">
        <f t="shared" ref="I165:I172" si="35">ROUND(F165*G165,2)</f>
        <v>488.89</v>
      </c>
      <c r="J165" s="741"/>
      <c r="K165" s="741">
        <f t="shared" ref="K165:K175" si="36">I165+J165</f>
        <v>488.89</v>
      </c>
      <c r="L165" s="741"/>
      <c r="M165" s="741"/>
      <c r="N165" s="741"/>
      <c r="O165" s="741"/>
      <c r="P165" s="741"/>
    </row>
    <row r="166" spans="1:16" s="648" customFormat="1" ht="12" x14ac:dyDescent="0.25">
      <c r="A166" s="649" t="s">
        <v>78</v>
      </c>
      <c r="B166" s="649">
        <v>34616</v>
      </c>
      <c r="C166" s="649"/>
      <c r="D166" s="650" t="s">
        <v>1247</v>
      </c>
      <c r="E166" s="649" t="s">
        <v>57</v>
      </c>
      <c r="F166" s="651">
        <v>3</v>
      </c>
      <c r="G166" s="741">
        <v>35.9</v>
      </c>
      <c r="H166" s="657"/>
      <c r="I166" s="741">
        <f t="shared" si="35"/>
        <v>107.7</v>
      </c>
      <c r="J166" s="741"/>
      <c r="K166" s="741">
        <f t="shared" si="36"/>
        <v>107.7</v>
      </c>
      <c r="L166" s="741"/>
      <c r="M166" s="741"/>
      <c r="N166" s="741"/>
      <c r="O166" s="741"/>
      <c r="P166" s="741"/>
    </row>
    <row r="167" spans="1:16" s="648" customFormat="1" ht="12" x14ac:dyDescent="0.25">
      <c r="A167" s="649" t="s">
        <v>78</v>
      </c>
      <c r="B167" s="649">
        <v>34616</v>
      </c>
      <c r="C167" s="649"/>
      <c r="D167" s="650" t="s">
        <v>1248</v>
      </c>
      <c r="E167" s="649" t="s">
        <v>57</v>
      </c>
      <c r="F167" s="651">
        <v>2</v>
      </c>
      <c r="G167" s="741">
        <v>35.9</v>
      </c>
      <c r="H167" s="657"/>
      <c r="I167" s="741">
        <f t="shared" si="35"/>
        <v>71.8</v>
      </c>
      <c r="J167" s="741"/>
      <c r="K167" s="741">
        <f t="shared" si="36"/>
        <v>71.8</v>
      </c>
      <c r="L167" s="741"/>
      <c r="M167" s="741"/>
      <c r="N167" s="741"/>
      <c r="O167" s="741"/>
      <c r="P167" s="741"/>
    </row>
    <row r="168" spans="1:16" s="648" customFormat="1" ht="12" x14ac:dyDescent="0.25">
      <c r="A168" s="649" t="s">
        <v>78</v>
      </c>
      <c r="B168" s="649">
        <v>34714</v>
      </c>
      <c r="C168" s="649"/>
      <c r="D168" s="650" t="s">
        <v>1249</v>
      </c>
      <c r="E168" s="649" t="s">
        <v>57</v>
      </c>
      <c r="F168" s="651">
        <v>1</v>
      </c>
      <c r="G168" s="741">
        <v>43.98</v>
      </c>
      <c r="H168" s="657"/>
      <c r="I168" s="741">
        <f t="shared" si="35"/>
        <v>43.98</v>
      </c>
      <c r="J168" s="741"/>
      <c r="K168" s="741">
        <f t="shared" si="36"/>
        <v>43.98</v>
      </c>
      <c r="L168" s="741"/>
      <c r="M168" s="741"/>
      <c r="N168" s="741"/>
      <c r="O168" s="741"/>
      <c r="P168" s="741"/>
    </row>
    <row r="169" spans="1:16" s="648" customFormat="1" ht="12" x14ac:dyDescent="0.25">
      <c r="A169" s="649" t="s">
        <v>78</v>
      </c>
      <c r="B169" s="649">
        <v>34714</v>
      </c>
      <c r="C169" s="649"/>
      <c r="D169" s="650" t="s">
        <v>1250</v>
      </c>
      <c r="E169" s="649" t="s">
        <v>57</v>
      </c>
      <c r="F169" s="651">
        <v>2</v>
      </c>
      <c r="G169" s="741">
        <v>52.01</v>
      </c>
      <c r="H169" s="657"/>
      <c r="I169" s="741">
        <f t="shared" si="35"/>
        <v>104.02</v>
      </c>
      <c r="J169" s="741"/>
      <c r="K169" s="741">
        <f t="shared" si="36"/>
        <v>104.02</v>
      </c>
      <c r="L169" s="741"/>
      <c r="M169" s="741"/>
      <c r="N169" s="741"/>
      <c r="O169" s="741"/>
      <c r="P169" s="741"/>
    </row>
    <row r="170" spans="1:16" s="648" customFormat="1" ht="12" x14ac:dyDescent="0.25">
      <c r="A170" s="649" t="s">
        <v>78</v>
      </c>
      <c r="B170" s="649">
        <v>34653</v>
      </c>
      <c r="C170" s="649"/>
      <c r="D170" s="650" t="s">
        <v>1251</v>
      </c>
      <c r="E170" s="649" t="s">
        <v>57</v>
      </c>
      <c r="F170" s="651">
        <v>10</v>
      </c>
      <c r="G170" s="741">
        <v>6.2</v>
      </c>
      <c r="H170" s="657"/>
      <c r="I170" s="741">
        <f t="shared" si="35"/>
        <v>62</v>
      </c>
      <c r="J170" s="741"/>
      <c r="K170" s="741">
        <f t="shared" si="36"/>
        <v>62</v>
      </c>
      <c r="L170" s="741"/>
      <c r="M170" s="741"/>
      <c r="N170" s="741"/>
      <c r="O170" s="741"/>
      <c r="P170" s="741"/>
    </row>
    <row r="171" spans="1:16" s="648" customFormat="1" ht="12" x14ac:dyDescent="0.25">
      <c r="A171" s="649" t="s">
        <v>1142</v>
      </c>
      <c r="B171" s="649" t="s">
        <v>1252</v>
      </c>
      <c r="C171" s="649"/>
      <c r="D171" s="650" t="s">
        <v>1253</v>
      </c>
      <c r="E171" s="649" t="s">
        <v>57</v>
      </c>
      <c r="F171" s="651">
        <v>1</v>
      </c>
      <c r="G171" s="741">
        <v>103.25</v>
      </c>
      <c r="H171" s="657"/>
      <c r="I171" s="741">
        <f t="shared" si="35"/>
        <v>103.25</v>
      </c>
      <c r="J171" s="741"/>
      <c r="K171" s="741">
        <f t="shared" si="36"/>
        <v>103.25</v>
      </c>
      <c r="L171" s="741"/>
      <c r="M171" s="741"/>
      <c r="N171" s="741"/>
      <c r="O171" s="741"/>
      <c r="P171" s="741"/>
    </row>
    <row r="172" spans="1:16" s="648" customFormat="1" ht="12" x14ac:dyDescent="0.25">
      <c r="A172" s="649" t="s">
        <v>1142</v>
      </c>
      <c r="B172" s="649" t="s">
        <v>1254</v>
      </c>
      <c r="C172" s="649"/>
      <c r="D172" s="650" t="s">
        <v>1255</v>
      </c>
      <c r="E172" s="649" t="s">
        <v>57</v>
      </c>
      <c r="F172" s="651">
        <v>4</v>
      </c>
      <c r="G172" s="741">
        <v>55.86</v>
      </c>
      <c r="H172" s="657"/>
      <c r="I172" s="741">
        <f t="shared" si="35"/>
        <v>223.44</v>
      </c>
      <c r="J172" s="741"/>
      <c r="K172" s="741">
        <f t="shared" si="36"/>
        <v>223.44</v>
      </c>
      <c r="L172" s="741"/>
      <c r="M172" s="741"/>
      <c r="N172" s="741"/>
      <c r="O172" s="741"/>
      <c r="P172" s="741"/>
    </row>
    <row r="173" spans="1:16" x14ac:dyDescent="0.25">
      <c r="A173" s="649" t="s">
        <v>1256</v>
      </c>
      <c r="B173" s="649"/>
      <c r="C173" s="649"/>
      <c r="D173" s="650" t="s">
        <v>1257</v>
      </c>
      <c r="E173" s="649" t="s">
        <v>1258</v>
      </c>
      <c r="F173" s="651">
        <v>1</v>
      </c>
      <c r="G173" s="741">
        <v>30</v>
      </c>
      <c r="H173" s="657"/>
      <c r="I173" s="741">
        <f>ROUND(F173*G173,2)</f>
        <v>30</v>
      </c>
      <c r="J173" s="741"/>
      <c r="K173" s="741">
        <f t="shared" si="36"/>
        <v>30</v>
      </c>
      <c r="L173" s="741"/>
      <c r="M173" s="741"/>
      <c r="N173" s="741"/>
      <c r="O173" s="741"/>
      <c r="P173" s="741"/>
    </row>
    <row r="174" spans="1:16" x14ac:dyDescent="0.25">
      <c r="A174" s="649" t="s">
        <v>78</v>
      </c>
      <c r="B174" s="649">
        <v>2439</v>
      </c>
      <c r="C174" s="649"/>
      <c r="D174" s="650" t="s">
        <v>1259</v>
      </c>
      <c r="E174" s="649" t="s">
        <v>42</v>
      </c>
      <c r="F174" s="651">
        <v>8</v>
      </c>
      <c r="G174" s="741">
        <v>15.25</v>
      </c>
      <c r="H174" s="657"/>
      <c r="I174" s="741"/>
      <c r="J174" s="741">
        <f>ROUND(F174*G174,2)</f>
        <v>122</v>
      </c>
      <c r="K174" s="741">
        <f t="shared" si="36"/>
        <v>122</v>
      </c>
      <c r="L174" s="741"/>
      <c r="M174" s="741"/>
      <c r="N174" s="741"/>
      <c r="O174" s="741"/>
      <c r="P174" s="741"/>
    </row>
    <row r="175" spans="1:16" x14ac:dyDescent="0.25">
      <c r="A175" s="649" t="s">
        <v>78</v>
      </c>
      <c r="B175" s="649">
        <v>247</v>
      </c>
      <c r="C175" s="649"/>
      <c r="D175" s="650" t="s">
        <v>1175</v>
      </c>
      <c r="E175" s="649" t="s">
        <v>42</v>
      </c>
      <c r="F175" s="651">
        <v>8</v>
      </c>
      <c r="G175" s="741">
        <v>9.52</v>
      </c>
      <c r="H175" s="657"/>
      <c r="I175" s="741"/>
      <c r="J175" s="741">
        <f>ROUND(F175*G175,2)</f>
        <v>76.16</v>
      </c>
      <c r="K175" s="741">
        <f t="shared" si="36"/>
        <v>76.16</v>
      </c>
      <c r="L175" s="741"/>
      <c r="M175" s="741"/>
      <c r="N175" s="741"/>
      <c r="O175" s="741"/>
      <c r="P175" s="741"/>
    </row>
    <row r="176" spans="1:16" x14ac:dyDescent="0.25">
      <c r="H176"/>
    </row>
    <row r="177" spans="1:16" x14ac:dyDescent="0.25">
      <c r="A177" s="644"/>
      <c r="B177" s="644"/>
      <c r="C177" s="644" t="s">
        <v>1330</v>
      </c>
      <c r="D177" s="654" t="s">
        <v>1260</v>
      </c>
      <c r="E177" s="644" t="s">
        <v>57</v>
      </c>
      <c r="F177" s="646"/>
      <c r="G177" s="740"/>
      <c r="H177" s="740">
        <v>1</v>
      </c>
      <c r="I177" s="740">
        <f>SUM(I178:I188)</f>
        <v>1131.9000000000001</v>
      </c>
      <c r="J177" s="740">
        <f>SUM(J178:J188)</f>
        <v>297.24</v>
      </c>
      <c r="K177" s="740">
        <f>I177+J177</f>
        <v>1429.14</v>
      </c>
      <c r="L177" s="740">
        <f>ROUND(H177*I177,2)</f>
        <v>1131.9000000000001</v>
      </c>
      <c r="M177" s="740">
        <f>ROUND(H177*J177,2)</f>
        <v>297.24</v>
      </c>
      <c r="N177" s="740">
        <f>L177+M177</f>
        <v>1429.14</v>
      </c>
      <c r="O177" s="740">
        <f>ROUND(N177*$P$4,2)</f>
        <v>387.01</v>
      </c>
      <c r="P177" s="740">
        <f>N177+O177</f>
        <v>1816.15</v>
      </c>
    </row>
    <row r="178" spans="1:16" ht="72" x14ac:dyDescent="0.25">
      <c r="A178" s="649" t="s">
        <v>79</v>
      </c>
      <c r="B178" s="649" t="s">
        <v>1245</v>
      </c>
      <c r="C178" s="649"/>
      <c r="D178" s="650" t="s">
        <v>1261</v>
      </c>
      <c r="E178" s="649" t="s">
        <v>57</v>
      </c>
      <c r="F178" s="651">
        <v>1</v>
      </c>
      <c r="G178" s="741">
        <v>488.89</v>
      </c>
      <c r="H178" s="657"/>
      <c r="I178" s="741">
        <f t="shared" ref="I178:I185" si="37">ROUND(F178*G178,2)</f>
        <v>488.89</v>
      </c>
      <c r="J178" s="741"/>
      <c r="K178" s="741">
        <f t="shared" ref="K178:K188" si="38">I178+J178</f>
        <v>488.89</v>
      </c>
      <c r="L178" s="741"/>
      <c r="M178" s="741"/>
      <c r="N178" s="741"/>
      <c r="O178" s="741"/>
      <c r="P178" s="741"/>
    </row>
    <row r="179" spans="1:16" x14ac:dyDescent="0.25">
      <c r="A179" s="649"/>
      <c r="B179" s="649" t="s">
        <v>80</v>
      </c>
      <c r="C179" s="649"/>
      <c r="D179" s="650" t="s">
        <v>1262</v>
      </c>
      <c r="E179" s="649" t="s">
        <v>57</v>
      </c>
      <c r="F179" s="657">
        <v>2</v>
      </c>
      <c r="G179" s="741">
        <v>102.7</v>
      </c>
      <c r="H179" s="657"/>
      <c r="I179" s="741">
        <f t="shared" si="37"/>
        <v>205.4</v>
      </c>
      <c r="J179" s="741"/>
      <c r="K179" s="741">
        <f t="shared" si="38"/>
        <v>205.4</v>
      </c>
      <c r="L179" s="741"/>
      <c r="M179" s="741"/>
      <c r="N179" s="741"/>
      <c r="O179" s="741"/>
      <c r="P179" s="741"/>
    </row>
    <row r="180" spans="1:16" x14ac:dyDescent="0.25">
      <c r="A180" s="649"/>
      <c r="B180" s="649"/>
      <c r="C180" s="649"/>
      <c r="D180" s="650" t="s">
        <v>1263</v>
      </c>
      <c r="E180" s="649" t="s">
        <v>57</v>
      </c>
      <c r="F180" s="651">
        <v>1</v>
      </c>
      <c r="G180" s="741">
        <v>46.19</v>
      </c>
      <c r="H180" s="657"/>
      <c r="I180" s="741">
        <f t="shared" si="37"/>
        <v>46.19</v>
      </c>
      <c r="J180" s="741"/>
      <c r="K180" s="741">
        <f t="shared" si="38"/>
        <v>46.19</v>
      </c>
      <c r="L180" s="741"/>
      <c r="M180" s="741"/>
      <c r="N180" s="741"/>
      <c r="O180" s="741"/>
      <c r="P180" s="741"/>
    </row>
    <row r="181" spans="1:16" x14ac:dyDescent="0.25">
      <c r="A181" s="649"/>
      <c r="B181" s="649"/>
      <c r="C181" s="649"/>
      <c r="D181" s="650" t="s">
        <v>1264</v>
      </c>
      <c r="E181" s="649" t="s">
        <v>57</v>
      </c>
      <c r="F181" s="651">
        <v>1</v>
      </c>
      <c r="G181" s="741">
        <v>47.21</v>
      </c>
      <c r="H181" s="657"/>
      <c r="I181" s="741">
        <f t="shared" si="37"/>
        <v>47.21</v>
      </c>
      <c r="J181" s="741"/>
      <c r="K181" s="741">
        <f t="shared" si="38"/>
        <v>47.21</v>
      </c>
      <c r="L181" s="741"/>
      <c r="M181" s="741"/>
      <c r="N181" s="741"/>
      <c r="O181" s="741"/>
      <c r="P181" s="741"/>
    </row>
    <row r="182" spans="1:16" x14ac:dyDescent="0.25">
      <c r="A182" s="649"/>
      <c r="B182" s="649" t="s">
        <v>1434</v>
      </c>
      <c r="C182" s="649"/>
      <c r="D182" s="650" t="s">
        <v>1436</v>
      </c>
      <c r="E182" s="649" t="s">
        <v>57</v>
      </c>
      <c r="F182" s="651">
        <v>1</v>
      </c>
      <c r="G182" s="741">
        <v>72.5</v>
      </c>
      <c r="H182" s="657"/>
      <c r="I182" s="741">
        <f t="shared" si="37"/>
        <v>72.5</v>
      </c>
      <c r="J182" s="741"/>
      <c r="K182" s="741">
        <f t="shared" si="38"/>
        <v>72.5</v>
      </c>
      <c r="L182" s="741"/>
      <c r="M182" s="741"/>
      <c r="N182" s="741"/>
      <c r="O182" s="741"/>
      <c r="P182" s="741"/>
    </row>
    <row r="183" spans="1:16" x14ac:dyDescent="0.25">
      <c r="A183" s="649"/>
      <c r="B183" s="649" t="s">
        <v>80</v>
      </c>
      <c r="C183" s="649"/>
      <c r="D183" s="650" t="s">
        <v>1265</v>
      </c>
      <c r="E183" s="649" t="s">
        <v>57</v>
      </c>
      <c r="F183" s="651">
        <v>2</v>
      </c>
      <c r="G183" s="741">
        <v>75.25</v>
      </c>
      <c r="H183" s="657"/>
      <c r="I183" s="741">
        <f t="shared" si="37"/>
        <v>150.5</v>
      </c>
      <c r="J183" s="741"/>
      <c r="K183" s="741">
        <f t="shared" si="38"/>
        <v>150.5</v>
      </c>
      <c r="L183" s="741"/>
      <c r="M183" s="741"/>
      <c r="N183" s="741"/>
      <c r="O183" s="741"/>
      <c r="P183" s="741"/>
    </row>
    <row r="184" spans="1:16" x14ac:dyDescent="0.25">
      <c r="A184" s="649"/>
      <c r="B184" s="649"/>
      <c r="C184" s="649"/>
      <c r="D184" s="650" t="s">
        <v>1266</v>
      </c>
      <c r="E184" s="649" t="s">
        <v>57</v>
      </c>
      <c r="F184" s="657">
        <v>6</v>
      </c>
      <c r="G184" s="741">
        <v>4.63</v>
      </c>
      <c r="H184" s="657"/>
      <c r="I184" s="741">
        <f t="shared" si="37"/>
        <v>27.78</v>
      </c>
      <c r="J184" s="741"/>
      <c r="K184" s="741">
        <f t="shared" si="38"/>
        <v>27.78</v>
      </c>
      <c r="L184" s="741"/>
      <c r="M184" s="741"/>
      <c r="N184" s="741"/>
      <c r="O184" s="741"/>
      <c r="P184" s="741"/>
    </row>
    <row r="185" spans="1:16" x14ac:dyDescent="0.25">
      <c r="A185" s="649"/>
      <c r="B185" s="649" t="s">
        <v>1437</v>
      </c>
      <c r="C185" s="649"/>
      <c r="D185" s="650" t="s">
        <v>1438</v>
      </c>
      <c r="E185" s="649" t="s">
        <v>57</v>
      </c>
      <c r="F185" s="657">
        <v>1</v>
      </c>
      <c r="G185" s="741">
        <v>63.43</v>
      </c>
      <c r="H185" s="657"/>
      <c r="I185" s="741">
        <f t="shared" si="37"/>
        <v>63.43</v>
      </c>
      <c r="J185" s="741"/>
      <c r="K185" s="741">
        <f t="shared" si="38"/>
        <v>63.43</v>
      </c>
      <c r="L185" s="741"/>
      <c r="M185" s="741"/>
      <c r="N185" s="741"/>
      <c r="O185" s="741"/>
      <c r="P185" s="741"/>
    </row>
    <row r="186" spans="1:16" x14ac:dyDescent="0.25">
      <c r="A186" s="649" t="s">
        <v>1256</v>
      </c>
      <c r="B186" s="649"/>
      <c r="C186" s="649"/>
      <c r="D186" s="650" t="s">
        <v>1257</v>
      </c>
      <c r="E186" s="649" t="s">
        <v>1258</v>
      </c>
      <c r="F186" s="651">
        <v>1</v>
      </c>
      <c r="G186" s="741">
        <v>30</v>
      </c>
      <c r="H186" s="657"/>
      <c r="I186" s="741">
        <f>ROUND(F186*G186,2)</f>
        <v>30</v>
      </c>
      <c r="J186" s="741"/>
      <c r="K186" s="741">
        <f t="shared" si="38"/>
        <v>30</v>
      </c>
      <c r="L186" s="741"/>
      <c r="M186" s="741"/>
      <c r="N186" s="741"/>
      <c r="O186" s="741"/>
      <c r="P186" s="741"/>
    </row>
    <row r="187" spans="1:16" x14ac:dyDescent="0.25">
      <c r="A187" s="649" t="s">
        <v>78</v>
      </c>
      <c r="B187" s="649">
        <v>2439</v>
      </c>
      <c r="C187" s="649"/>
      <c r="D187" s="650" t="s">
        <v>1259</v>
      </c>
      <c r="E187" s="649" t="s">
        <v>42</v>
      </c>
      <c r="F187" s="651">
        <v>12</v>
      </c>
      <c r="G187" s="741">
        <v>15.25</v>
      </c>
      <c r="H187" s="657"/>
      <c r="I187" s="741"/>
      <c r="J187" s="741">
        <f>ROUND(F187*G187,2)</f>
        <v>183</v>
      </c>
      <c r="K187" s="741">
        <f t="shared" si="38"/>
        <v>183</v>
      </c>
      <c r="L187" s="741"/>
      <c r="M187" s="741"/>
      <c r="N187" s="741"/>
      <c r="O187" s="741"/>
      <c r="P187" s="741"/>
    </row>
    <row r="188" spans="1:16" x14ac:dyDescent="0.25">
      <c r="A188" s="649" t="s">
        <v>78</v>
      </c>
      <c r="B188" s="649">
        <v>247</v>
      </c>
      <c r="C188" s="649"/>
      <c r="D188" s="650" t="s">
        <v>1175</v>
      </c>
      <c r="E188" s="649" t="s">
        <v>42</v>
      </c>
      <c r="F188" s="651">
        <v>12</v>
      </c>
      <c r="G188" s="741">
        <v>9.52</v>
      </c>
      <c r="H188" s="657"/>
      <c r="I188" s="741"/>
      <c r="J188" s="741">
        <f>ROUND(F188*G188,2)</f>
        <v>114.24</v>
      </c>
      <c r="K188" s="741">
        <f t="shared" si="38"/>
        <v>114.24</v>
      </c>
      <c r="L188" s="741"/>
      <c r="M188" s="741"/>
      <c r="N188" s="741"/>
      <c r="O188" s="741"/>
      <c r="P188" s="741"/>
    </row>
    <row r="189" spans="1:16" x14ac:dyDescent="0.25">
      <c r="A189" s="667"/>
      <c r="B189" s="667"/>
      <c r="C189" s="667"/>
      <c r="D189" s="668"/>
      <c r="E189" s="667"/>
      <c r="F189" s="669"/>
      <c r="G189" s="747"/>
      <c r="H189" s="708"/>
      <c r="I189" s="747"/>
      <c r="J189" s="747"/>
      <c r="K189" s="747"/>
      <c r="L189" s="747"/>
      <c r="M189" s="747"/>
      <c r="N189" s="747"/>
      <c r="O189" s="747"/>
      <c r="P189" s="747"/>
    </row>
    <row r="190" spans="1:16" ht="24" x14ac:dyDescent="0.25">
      <c r="A190" s="644"/>
      <c r="B190" s="644"/>
      <c r="C190" s="644" t="s">
        <v>1326</v>
      </c>
      <c r="D190" s="654" t="s">
        <v>1439</v>
      </c>
      <c r="E190" s="644" t="s">
        <v>57</v>
      </c>
      <c r="F190" s="646"/>
      <c r="G190" s="740"/>
      <c r="H190" s="740">
        <v>1</v>
      </c>
      <c r="I190" s="740">
        <f>SUM(I191:I193)</f>
        <v>71.400000000000006</v>
      </c>
      <c r="J190" s="740">
        <f>SUM(J191:J193)</f>
        <v>18.18</v>
      </c>
      <c r="K190" s="740">
        <f>I190+J190</f>
        <v>89.580000000000013</v>
      </c>
      <c r="L190" s="740">
        <f>ROUND(H190*I190,2)</f>
        <v>71.400000000000006</v>
      </c>
      <c r="M190" s="740">
        <f>ROUND(H190*J190,2)</f>
        <v>18.18</v>
      </c>
      <c r="N190" s="740">
        <f>L190+M190</f>
        <v>89.580000000000013</v>
      </c>
      <c r="O190" s="740">
        <f>ROUND(N190*$P$4,2)</f>
        <v>24.26</v>
      </c>
      <c r="P190" s="740">
        <f>N190+O190</f>
        <v>113.84000000000002</v>
      </c>
    </row>
    <row r="191" spans="1:16" ht="24" x14ac:dyDescent="0.25">
      <c r="A191" s="649" t="s">
        <v>1142</v>
      </c>
      <c r="B191" s="649" t="s">
        <v>1440</v>
      </c>
      <c r="C191" s="649"/>
      <c r="D191" s="650" t="s">
        <v>1439</v>
      </c>
      <c r="E191" s="649" t="s">
        <v>57</v>
      </c>
      <c r="F191" s="651">
        <v>1</v>
      </c>
      <c r="G191" s="741">
        <v>71.400000000000006</v>
      </c>
      <c r="H191" s="657"/>
      <c r="I191" s="741">
        <f>ROUND(F191*G191,2)</f>
        <v>71.400000000000006</v>
      </c>
      <c r="J191" s="741"/>
      <c r="K191" s="741">
        <f t="shared" ref="K191:K193" si="39">I191+J191</f>
        <v>71.400000000000006</v>
      </c>
      <c r="L191" s="741"/>
      <c r="M191" s="741"/>
      <c r="N191" s="741"/>
      <c r="O191" s="741"/>
      <c r="P191" s="741"/>
    </row>
    <row r="192" spans="1:16" x14ac:dyDescent="0.25">
      <c r="A192" s="649" t="s">
        <v>78</v>
      </c>
      <c r="B192" s="649">
        <v>2436</v>
      </c>
      <c r="C192" s="649"/>
      <c r="D192" s="650" t="s">
        <v>239</v>
      </c>
      <c r="E192" s="649" t="s">
        <v>42</v>
      </c>
      <c r="F192" s="651">
        <v>0.8</v>
      </c>
      <c r="G192" s="741">
        <v>13.2</v>
      </c>
      <c r="H192" s="657"/>
      <c r="I192" s="741"/>
      <c r="J192" s="741">
        <f>ROUND(F192*G192,2)</f>
        <v>10.56</v>
      </c>
      <c r="K192" s="741">
        <f t="shared" si="39"/>
        <v>10.56</v>
      </c>
      <c r="L192" s="741"/>
      <c r="M192" s="741"/>
      <c r="N192" s="741"/>
      <c r="O192" s="741"/>
      <c r="P192" s="741"/>
    </row>
    <row r="193" spans="1:16" x14ac:dyDescent="0.25">
      <c r="A193" s="649" t="s">
        <v>78</v>
      </c>
      <c r="B193" s="649">
        <v>247</v>
      </c>
      <c r="C193" s="649"/>
      <c r="D193" s="650" t="s">
        <v>1175</v>
      </c>
      <c r="E193" s="649" t="s">
        <v>42</v>
      </c>
      <c r="F193" s="651">
        <v>0.8</v>
      </c>
      <c r="G193" s="741">
        <v>9.52</v>
      </c>
      <c r="H193" s="657"/>
      <c r="I193" s="741"/>
      <c r="J193" s="741">
        <f>ROUND(F193*G193,2)</f>
        <v>7.62</v>
      </c>
      <c r="K193" s="741">
        <f t="shared" si="39"/>
        <v>7.62</v>
      </c>
      <c r="L193" s="741"/>
      <c r="M193" s="741"/>
      <c r="N193" s="741"/>
      <c r="O193" s="741"/>
      <c r="P193" s="741"/>
    </row>
    <row r="194" spans="1:16" x14ac:dyDescent="0.25">
      <c r="A194" s="667"/>
      <c r="B194" s="667"/>
      <c r="C194" s="667"/>
      <c r="D194" s="668"/>
      <c r="E194" s="667"/>
      <c r="F194" s="669"/>
      <c r="G194" s="747"/>
      <c r="H194" s="708"/>
      <c r="I194" s="747"/>
      <c r="J194" s="747"/>
      <c r="K194" s="747"/>
      <c r="L194" s="747"/>
      <c r="M194" s="747"/>
      <c r="N194" s="747"/>
      <c r="O194" s="747"/>
      <c r="P194" s="747"/>
    </row>
    <row r="195" spans="1:16" x14ac:dyDescent="0.25">
      <c r="A195" s="644"/>
      <c r="B195" s="644"/>
      <c r="C195" s="644" t="s">
        <v>1326</v>
      </c>
      <c r="D195" s="654" t="str">
        <f>D196</f>
        <v>Chave Bóia CB-2002 Superior/Inferior 15A Margirius</v>
      </c>
      <c r="E195" s="644" t="s">
        <v>57</v>
      </c>
      <c r="F195" s="646"/>
      <c r="G195" s="740"/>
      <c r="H195" s="740">
        <v>2</v>
      </c>
      <c r="I195" s="740">
        <f>SUM(I196:I198)</f>
        <v>43.12</v>
      </c>
      <c r="J195" s="740">
        <f>SUM(J196:J198)</f>
        <v>9.09</v>
      </c>
      <c r="K195" s="740">
        <f>I195+J195</f>
        <v>52.209999999999994</v>
      </c>
      <c r="L195" s="740">
        <f>ROUND(H195*I195,2)</f>
        <v>86.24</v>
      </c>
      <c r="M195" s="740">
        <f>ROUND(H195*J195,2)</f>
        <v>18.18</v>
      </c>
      <c r="N195" s="740">
        <f>L195+M195</f>
        <v>104.41999999999999</v>
      </c>
      <c r="O195" s="740">
        <f>ROUND(N195*$P$4,2)</f>
        <v>28.28</v>
      </c>
      <c r="P195" s="740">
        <f>N195+O195</f>
        <v>132.69999999999999</v>
      </c>
    </row>
    <row r="196" spans="1:16" x14ac:dyDescent="0.25">
      <c r="A196" s="649" t="s">
        <v>1142</v>
      </c>
      <c r="B196" s="649" t="s">
        <v>1440</v>
      </c>
      <c r="C196" s="649"/>
      <c r="D196" s="650" t="s">
        <v>1441</v>
      </c>
      <c r="E196" s="649" t="s">
        <v>57</v>
      </c>
      <c r="F196" s="651">
        <v>1</v>
      </c>
      <c r="G196" s="741">
        <v>43.12</v>
      </c>
      <c r="H196" s="657"/>
      <c r="I196" s="741">
        <f>ROUND(F196*G196,2)</f>
        <v>43.12</v>
      </c>
      <c r="J196" s="741"/>
      <c r="K196" s="741">
        <f t="shared" ref="K196:K198" si="40">I196+J196</f>
        <v>43.12</v>
      </c>
      <c r="L196" s="741"/>
      <c r="M196" s="741"/>
      <c r="N196" s="741"/>
      <c r="O196" s="741"/>
      <c r="P196" s="741"/>
    </row>
    <row r="197" spans="1:16" x14ac:dyDescent="0.25">
      <c r="A197" s="649" t="s">
        <v>78</v>
      </c>
      <c r="B197" s="649">
        <v>2436</v>
      </c>
      <c r="C197" s="649"/>
      <c r="D197" s="650" t="s">
        <v>239</v>
      </c>
      <c r="E197" s="649" t="s">
        <v>42</v>
      </c>
      <c r="F197" s="651">
        <v>0.4</v>
      </c>
      <c r="G197" s="741">
        <v>13.2</v>
      </c>
      <c r="H197" s="657"/>
      <c r="I197" s="741"/>
      <c r="J197" s="741">
        <f>ROUND(F197*G197,2)</f>
        <v>5.28</v>
      </c>
      <c r="K197" s="741">
        <f t="shared" si="40"/>
        <v>5.28</v>
      </c>
      <c r="L197" s="741"/>
      <c r="M197" s="741"/>
      <c r="N197" s="741"/>
      <c r="O197" s="741"/>
      <c r="P197" s="741"/>
    </row>
    <row r="198" spans="1:16" x14ac:dyDescent="0.25">
      <c r="A198" s="649" t="s">
        <v>78</v>
      </c>
      <c r="B198" s="649">
        <v>247</v>
      </c>
      <c r="C198" s="649"/>
      <c r="D198" s="650" t="s">
        <v>1175</v>
      </c>
      <c r="E198" s="649" t="s">
        <v>42</v>
      </c>
      <c r="F198" s="651">
        <v>0.4</v>
      </c>
      <c r="G198" s="741">
        <v>9.52</v>
      </c>
      <c r="H198" s="657"/>
      <c r="I198" s="741"/>
      <c r="J198" s="741">
        <f>ROUND(F198*G198,2)</f>
        <v>3.81</v>
      </c>
      <c r="K198" s="741">
        <f t="shared" si="40"/>
        <v>3.81</v>
      </c>
      <c r="L198" s="741"/>
      <c r="M198" s="741"/>
      <c r="N198" s="741"/>
      <c r="O198" s="741"/>
      <c r="P198" s="741"/>
    </row>
    <row r="199" spans="1:16" ht="15.75" thickBot="1" x14ac:dyDescent="0.3">
      <c r="A199" s="667"/>
      <c r="B199" s="667"/>
      <c r="C199" s="667"/>
      <c r="D199" s="668"/>
      <c r="E199" s="667"/>
      <c r="F199" s="669"/>
      <c r="G199" s="747"/>
      <c r="H199" s="747"/>
      <c r="I199" s="747"/>
      <c r="J199" s="747"/>
      <c r="K199" s="747"/>
      <c r="L199" s="747"/>
      <c r="M199" s="747"/>
      <c r="N199" s="747"/>
      <c r="O199" s="747"/>
      <c r="P199" s="747"/>
    </row>
    <row r="200" spans="1:16" ht="15.75" thickBot="1" x14ac:dyDescent="0.3">
      <c r="A200" s="690"/>
      <c r="B200" s="691"/>
      <c r="C200" s="691"/>
      <c r="D200" s="692" t="s">
        <v>109</v>
      </c>
      <c r="E200" s="691"/>
      <c r="F200" s="691"/>
      <c r="G200" s="691"/>
      <c r="H200" s="691"/>
      <c r="I200" s="691"/>
      <c r="J200" s="691"/>
      <c r="K200" s="693"/>
      <c r="L200" s="694">
        <f>SUM(L58:L188)</f>
        <v>8190.4399999999987</v>
      </c>
      <c r="M200" s="694">
        <f>SUM(M58:M188)</f>
        <v>5275.0299999999988</v>
      </c>
      <c r="N200" s="694">
        <f>SUM(N58:N188)</f>
        <v>13465.47</v>
      </c>
      <c r="O200" s="695">
        <f>SUM(O58:O188)</f>
        <v>3646.4599999999991</v>
      </c>
      <c r="P200" s="694">
        <f>SUM(P58:P198)</f>
        <v>17358.47</v>
      </c>
    </row>
    <row r="201" spans="1:16" x14ac:dyDescent="0.25">
      <c r="H201" s="689"/>
    </row>
    <row r="202" spans="1:16" x14ac:dyDescent="0.25">
      <c r="H202" s="689"/>
    </row>
    <row r="203" spans="1:16" x14ac:dyDescent="0.25">
      <c r="H203" s="689"/>
    </row>
    <row r="204" spans="1:16" x14ac:dyDescent="0.25">
      <c r="H204" s="689"/>
    </row>
    <row r="205" spans="1:16" x14ac:dyDescent="0.25">
      <c r="H205" s="689"/>
    </row>
    <row r="206" spans="1:16" x14ac:dyDescent="0.25">
      <c r="H206" s="689"/>
    </row>
    <row r="207" spans="1:16" x14ac:dyDescent="0.25">
      <c r="H207" s="689"/>
    </row>
    <row r="208" spans="1:16" x14ac:dyDescent="0.25">
      <c r="H208" s="689"/>
    </row>
    <row r="209" spans="8:8" x14ac:dyDescent="0.25">
      <c r="H209" s="689"/>
    </row>
    <row r="210" spans="8:8" x14ac:dyDescent="0.25">
      <c r="H210" s="689"/>
    </row>
    <row r="211" spans="8:8" x14ac:dyDescent="0.25">
      <c r="H211" s="689"/>
    </row>
    <row r="212" spans="8:8" x14ac:dyDescent="0.25">
      <c r="H212" s="689"/>
    </row>
    <row r="213" spans="8:8" x14ac:dyDescent="0.25">
      <c r="H213" s="689"/>
    </row>
    <row r="214" spans="8:8" x14ac:dyDescent="0.25">
      <c r="H214" s="689"/>
    </row>
    <row r="215" spans="8:8" x14ac:dyDescent="0.25">
      <c r="H215" s="689"/>
    </row>
    <row r="216" spans="8:8" x14ac:dyDescent="0.25">
      <c r="H216" s="689"/>
    </row>
    <row r="217" spans="8:8" x14ac:dyDescent="0.25">
      <c r="H217" s="689"/>
    </row>
    <row r="218" spans="8:8" x14ac:dyDescent="0.25">
      <c r="H218" s="689"/>
    </row>
    <row r="219" spans="8:8" x14ac:dyDescent="0.25">
      <c r="H219" s="689"/>
    </row>
    <row r="220" spans="8:8" x14ac:dyDescent="0.25">
      <c r="H220" s="689"/>
    </row>
    <row r="221" spans="8:8" x14ac:dyDescent="0.25">
      <c r="H221" s="689"/>
    </row>
    <row r="222" spans="8:8" x14ac:dyDescent="0.25">
      <c r="H222" s="689"/>
    </row>
    <row r="223" spans="8:8" x14ac:dyDescent="0.25">
      <c r="H223" s="689"/>
    </row>
    <row r="224" spans="8:8" x14ac:dyDescent="0.25">
      <c r="H224" s="689"/>
    </row>
    <row r="225" spans="8:8" x14ac:dyDescent="0.25">
      <c r="H225" s="689"/>
    </row>
    <row r="226" spans="8:8" x14ac:dyDescent="0.25">
      <c r="H226" s="689"/>
    </row>
    <row r="227" spans="8:8" x14ac:dyDescent="0.25">
      <c r="H227" s="689"/>
    </row>
    <row r="228" spans="8:8" x14ac:dyDescent="0.25">
      <c r="H228" s="689"/>
    </row>
    <row r="229" spans="8:8" x14ac:dyDescent="0.25">
      <c r="H229" s="689"/>
    </row>
    <row r="230" spans="8:8" x14ac:dyDescent="0.25">
      <c r="H230" s="689"/>
    </row>
    <row r="231" spans="8:8" x14ac:dyDescent="0.25">
      <c r="H231" s="689"/>
    </row>
    <row r="232" spans="8:8" x14ac:dyDescent="0.25">
      <c r="H232" s="689"/>
    </row>
  </sheetData>
  <mergeCells count="18">
    <mergeCell ref="B6:N6"/>
    <mergeCell ref="A1:P1"/>
    <mergeCell ref="A2:P2"/>
    <mergeCell ref="A3:P3"/>
    <mergeCell ref="B4:N4"/>
    <mergeCell ref="B5:N5"/>
    <mergeCell ref="P8:P9"/>
    <mergeCell ref="A8:A9"/>
    <mergeCell ref="B8:B9"/>
    <mergeCell ref="C8:C9"/>
    <mergeCell ref="D8:D9"/>
    <mergeCell ref="E8:E9"/>
    <mergeCell ref="F8:F9"/>
    <mergeCell ref="G8:G9"/>
    <mergeCell ref="H8:H9"/>
    <mergeCell ref="I8:K8"/>
    <mergeCell ref="L8:N8"/>
    <mergeCell ref="O8:O9"/>
  </mergeCells>
  <pageMargins left="0.51181102362204722" right="0.51181102362204722" top="0.78740157480314965" bottom="0.78740157480314965" header="0.31496062992125984" footer="0.31496062992125984"/>
  <pageSetup paperSize="9" scale="64" fitToHeight="1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46"/>
  <sheetViews>
    <sheetView topLeftCell="E1" zoomScale="85" zoomScaleNormal="85" workbookViewId="0">
      <selection activeCell="L10" sqref="L10"/>
    </sheetView>
  </sheetViews>
  <sheetFormatPr defaultRowHeight="15" x14ac:dyDescent="0.25"/>
  <cols>
    <col min="2" max="2" width="12.28515625" bestFit="1" customWidth="1"/>
    <col min="4" max="4" width="100.7109375" customWidth="1"/>
    <col min="8" max="8" width="11" customWidth="1"/>
    <col min="10" max="10" width="7.5703125" bestFit="1" customWidth="1"/>
    <col min="12" max="12" width="10.5703125" bestFit="1" customWidth="1"/>
    <col min="13" max="13" width="9.5703125" bestFit="1" customWidth="1"/>
    <col min="14" max="14" width="10.5703125" bestFit="1" customWidth="1"/>
    <col min="15" max="15" width="9.5703125" bestFit="1" customWidth="1"/>
    <col min="16" max="16" width="10.5703125" bestFit="1" customWidth="1"/>
  </cols>
  <sheetData>
    <row r="1" spans="1:16" ht="15.75" x14ac:dyDescent="0.25">
      <c r="A1" s="846" t="s">
        <v>1153</v>
      </c>
      <c r="B1" s="847"/>
      <c r="C1" s="847"/>
      <c r="D1" s="847"/>
      <c r="E1" s="847"/>
      <c r="F1" s="847"/>
      <c r="G1" s="847"/>
      <c r="H1" s="847"/>
      <c r="I1" s="847"/>
      <c r="J1" s="847"/>
      <c r="K1" s="847"/>
      <c r="L1" s="847"/>
      <c r="M1" s="847"/>
      <c r="N1" s="847"/>
      <c r="O1" s="847"/>
      <c r="P1" s="848"/>
    </row>
    <row r="2" spans="1:16" ht="15.75" x14ac:dyDescent="0.25">
      <c r="A2" s="849" t="s">
        <v>1154</v>
      </c>
      <c r="B2" s="836"/>
      <c r="C2" s="836"/>
      <c r="D2" s="836"/>
      <c r="E2" s="836"/>
      <c r="F2" s="836"/>
      <c r="G2" s="836"/>
      <c r="H2" s="836"/>
      <c r="I2" s="836"/>
      <c r="J2" s="836"/>
      <c r="K2" s="836"/>
      <c r="L2" s="836"/>
      <c r="M2" s="836"/>
      <c r="N2" s="836"/>
      <c r="O2" s="836"/>
      <c r="P2" s="850"/>
    </row>
    <row r="3" spans="1:16" ht="16.5" thickBot="1" x14ac:dyDescent="0.3">
      <c r="A3" s="851" t="s">
        <v>1155</v>
      </c>
      <c r="B3" s="852"/>
      <c r="C3" s="852"/>
      <c r="D3" s="852"/>
      <c r="E3" s="852"/>
      <c r="F3" s="852"/>
      <c r="G3" s="852"/>
      <c r="H3" s="852"/>
      <c r="I3" s="852"/>
      <c r="J3" s="852"/>
      <c r="K3" s="852"/>
      <c r="L3" s="852"/>
      <c r="M3" s="852"/>
      <c r="N3" s="852"/>
      <c r="O3" s="852"/>
      <c r="P3" s="853"/>
    </row>
    <row r="4" spans="1:16" ht="16.5" thickBot="1" x14ac:dyDescent="0.3">
      <c r="A4" s="854" t="s">
        <v>1267</v>
      </c>
      <c r="B4" s="855"/>
      <c r="C4" s="855"/>
      <c r="D4" s="855"/>
      <c r="E4" s="855"/>
      <c r="F4" s="855"/>
      <c r="G4" s="855"/>
      <c r="H4" s="855"/>
      <c r="I4" s="855"/>
      <c r="J4" s="855"/>
      <c r="K4" s="855"/>
      <c r="L4" s="855"/>
      <c r="M4" s="855"/>
      <c r="N4" s="855"/>
      <c r="O4" s="855"/>
      <c r="P4" s="856"/>
    </row>
    <row r="5" spans="1:16" ht="15.75" x14ac:dyDescent="0.25">
      <c r="A5" s="631" t="s">
        <v>66</v>
      </c>
      <c r="B5" s="838" t="s">
        <v>1302</v>
      </c>
      <c r="C5" s="838"/>
      <c r="D5" s="838"/>
      <c r="E5" s="838"/>
      <c r="F5" s="838"/>
      <c r="G5" s="838"/>
      <c r="H5" s="838"/>
      <c r="I5" s="838"/>
      <c r="J5" s="838"/>
      <c r="K5" s="838"/>
      <c r="L5" s="838"/>
      <c r="M5" s="838"/>
      <c r="N5" s="838"/>
      <c r="O5" s="632" t="s">
        <v>1156</v>
      </c>
      <c r="P5" s="633">
        <v>0.27079999999999999</v>
      </c>
    </row>
    <row r="6" spans="1:16" ht="15.75" x14ac:dyDescent="0.25">
      <c r="A6" s="634" t="s">
        <v>69</v>
      </c>
      <c r="B6" s="839" t="s">
        <v>1157</v>
      </c>
      <c r="C6" s="839"/>
      <c r="D6" s="839"/>
      <c r="E6" s="839"/>
      <c r="F6" s="839"/>
      <c r="G6" s="839"/>
      <c r="H6" s="839"/>
      <c r="I6" s="839"/>
      <c r="J6" s="839"/>
      <c r="K6" s="839"/>
      <c r="L6" s="839"/>
      <c r="M6" s="839"/>
      <c r="N6" s="839"/>
      <c r="O6" s="635" t="s">
        <v>1158</v>
      </c>
      <c r="P6" s="633">
        <v>0.14019999999999999</v>
      </c>
    </row>
    <row r="7" spans="1:16" ht="15.75" x14ac:dyDescent="0.25">
      <c r="A7" s="636" t="s">
        <v>65</v>
      </c>
      <c r="B7" s="830">
        <v>41852</v>
      </c>
      <c r="C7" s="831"/>
      <c r="D7" s="831"/>
      <c r="E7" s="831"/>
      <c r="F7" s="831"/>
      <c r="G7" s="831"/>
      <c r="H7" s="831"/>
      <c r="I7" s="831"/>
      <c r="J7" s="831"/>
      <c r="K7" s="831"/>
      <c r="L7" s="831"/>
      <c r="M7" s="831"/>
      <c r="N7" s="831"/>
      <c r="O7" s="637"/>
      <c r="P7" s="638"/>
    </row>
    <row r="8" spans="1:16" x14ac:dyDescent="0.25">
      <c r="A8" s="697"/>
      <c r="B8" s="698"/>
      <c r="C8" s="698"/>
      <c r="D8" s="698"/>
      <c r="E8" s="698"/>
      <c r="F8" s="698"/>
      <c r="G8" s="698"/>
      <c r="H8" s="698"/>
      <c r="I8" s="698"/>
      <c r="J8" s="698"/>
      <c r="K8" s="698"/>
      <c r="L8" s="698"/>
      <c r="M8" s="698"/>
      <c r="N8" s="698"/>
      <c r="O8" s="698"/>
      <c r="P8" s="699"/>
    </row>
    <row r="9" spans="1:16" s="701" customFormat="1" ht="24" customHeight="1" x14ac:dyDescent="0.25">
      <c r="A9" s="842" t="s">
        <v>1159</v>
      </c>
      <c r="B9" s="825" t="s">
        <v>1160</v>
      </c>
      <c r="C9" s="825" t="s">
        <v>1161</v>
      </c>
      <c r="D9" s="825" t="s">
        <v>1162</v>
      </c>
      <c r="E9" s="825" t="s">
        <v>1163</v>
      </c>
      <c r="F9" s="825" t="s">
        <v>1164</v>
      </c>
      <c r="G9" s="844" t="s">
        <v>1165</v>
      </c>
      <c r="H9" s="825" t="s">
        <v>1166</v>
      </c>
      <c r="I9" s="829" t="s">
        <v>1453</v>
      </c>
      <c r="J9" s="829"/>
      <c r="K9" s="829"/>
      <c r="L9" s="829" t="s">
        <v>1454</v>
      </c>
      <c r="M9" s="829"/>
      <c r="N9" s="829"/>
      <c r="O9" s="700" t="s">
        <v>1156</v>
      </c>
      <c r="P9" s="840" t="s">
        <v>1446</v>
      </c>
    </row>
    <row r="10" spans="1:16" s="701" customFormat="1" ht="24" x14ac:dyDescent="0.25">
      <c r="A10" s="843"/>
      <c r="B10" s="826"/>
      <c r="C10" s="826"/>
      <c r="D10" s="826"/>
      <c r="E10" s="826"/>
      <c r="F10" s="826"/>
      <c r="G10" s="845"/>
      <c r="H10" s="826"/>
      <c r="I10" s="639" t="s">
        <v>1167</v>
      </c>
      <c r="J10" s="639" t="s">
        <v>1168</v>
      </c>
      <c r="K10" s="639" t="s">
        <v>1169</v>
      </c>
      <c r="L10" s="639" t="s">
        <v>1167</v>
      </c>
      <c r="M10" s="639" t="s">
        <v>1168</v>
      </c>
      <c r="N10" s="639" t="s">
        <v>1169</v>
      </c>
      <c r="O10" s="702"/>
      <c r="P10" s="841"/>
    </row>
    <row r="11" spans="1:16" s="701" customFormat="1" x14ac:dyDescent="0.25">
      <c r="A11" s="697"/>
      <c r="B11" s="698"/>
      <c r="C11" s="698"/>
      <c r="D11" s="698"/>
      <c r="E11" s="698"/>
      <c r="F11" s="698"/>
      <c r="G11" s="698"/>
      <c r="H11" s="698"/>
      <c r="I11" s="698"/>
      <c r="J11" s="698"/>
      <c r="K11" s="698"/>
      <c r="L11" s="698"/>
      <c r="M11" s="698"/>
      <c r="N11" s="698"/>
      <c r="O11" s="698"/>
      <c r="P11" s="699"/>
    </row>
    <row r="12" spans="1:16" s="643" customFormat="1" ht="12" x14ac:dyDescent="0.25">
      <c r="A12" s="640"/>
      <c r="B12" s="640"/>
      <c r="C12" s="640">
        <v>13</v>
      </c>
      <c r="D12" s="641" t="s">
        <v>1170</v>
      </c>
      <c r="E12" s="640"/>
      <c r="F12" s="641"/>
      <c r="G12" s="642"/>
      <c r="H12" s="642"/>
      <c r="I12" s="642"/>
      <c r="J12" s="642"/>
      <c r="K12" s="642"/>
      <c r="L12" s="642"/>
      <c r="M12" s="642"/>
      <c r="N12" s="642"/>
      <c r="O12" s="642"/>
      <c r="P12" s="642"/>
    </row>
    <row r="14" spans="1:16" s="701" customFormat="1" ht="12" x14ac:dyDescent="0.25">
      <c r="A14" s="703"/>
      <c r="B14" s="644"/>
      <c r="C14" s="644" t="s">
        <v>1331</v>
      </c>
      <c r="D14" s="654" t="s">
        <v>1268</v>
      </c>
      <c r="E14" s="644" t="s">
        <v>57</v>
      </c>
      <c r="F14" s="646"/>
      <c r="G14" s="647"/>
      <c r="H14" s="647">
        <v>37</v>
      </c>
      <c r="I14" s="647">
        <f>SUM(I15:I17)</f>
        <v>1.72</v>
      </c>
      <c r="J14" s="647">
        <f>SUM(J15:J17)</f>
        <v>3.41</v>
      </c>
      <c r="K14" s="647">
        <f>I14+J14</f>
        <v>5.13</v>
      </c>
      <c r="L14" s="647">
        <f>ROUND($H14*I14,2)</f>
        <v>63.64</v>
      </c>
      <c r="M14" s="647">
        <f>ROUND($H14*J14,2)</f>
        <v>126.17</v>
      </c>
      <c r="N14" s="647">
        <f>L14+M14</f>
        <v>189.81</v>
      </c>
      <c r="O14" s="647">
        <f>ROUND(N14*$P$5,2)</f>
        <v>51.4</v>
      </c>
      <c r="P14" s="704">
        <f>N14+O14</f>
        <v>241.21</v>
      </c>
    </row>
    <row r="15" spans="1:16" s="701" customFormat="1" ht="12" x14ac:dyDescent="0.25">
      <c r="A15" s="705" t="s">
        <v>78</v>
      </c>
      <c r="B15" s="655">
        <v>1872</v>
      </c>
      <c r="C15" s="649"/>
      <c r="D15" s="650" t="s">
        <v>1268</v>
      </c>
      <c r="E15" s="649" t="s">
        <v>57</v>
      </c>
      <c r="F15" s="651">
        <v>1</v>
      </c>
      <c r="G15" s="656">
        <v>1.72</v>
      </c>
      <c r="H15" s="657"/>
      <c r="I15" s="656">
        <f>ROUND(F15*G15,2)</f>
        <v>1.72</v>
      </c>
      <c r="J15" s="652"/>
      <c r="K15" s="652">
        <f t="shared" ref="K15:K17" si="0">I15+J15</f>
        <v>1.72</v>
      </c>
      <c r="L15" s="652"/>
      <c r="M15" s="652"/>
      <c r="N15" s="652"/>
      <c r="O15" s="652"/>
      <c r="P15" s="706"/>
    </row>
    <row r="16" spans="1:16" s="701" customFormat="1" ht="12" x14ac:dyDescent="0.25">
      <c r="A16" s="705" t="s">
        <v>78</v>
      </c>
      <c r="B16" s="649">
        <v>2436</v>
      </c>
      <c r="C16" s="649"/>
      <c r="D16" s="650" t="s">
        <v>239</v>
      </c>
      <c r="E16" s="649" t="s">
        <v>42</v>
      </c>
      <c r="F16" s="651">
        <v>0.15</v>
      </c>
      <c r="G16" s="652">
        <v>13.2</v>
      </c>
      <c r="H16" s="657"/>
      <c r="I16" s="652"/>
      <c r="J16" s="652">
        <f t="shared" ref="J16:J17" si="1">ROUND(F16*G16,2)</f>
        <v>1.98</v>
      </c>
      <c r="K16" s="652">
        <f t="shared" si="0"/>
        <v>1.98</v>
      </c>
      <c r="L16" s="652"/>
      <c r="M16" s="652"/>
      <c r="N16" s="652"/>
      <c r="O16" s="652"/>
      <c r="P16" s="706"/>
    </row>
    <row r="17" spans="1:16" s="701" customFormat="1" ht="12" x14ac:dyDescent="0.25">
      <c r="A17" s="705" t="s">
        <v>78</v>
      </c>
      <c r="B17" s="649">
        <v>247</v>
      </c>
      <c r="C17" s="649"/>
      <c r="D17" s="650" t="s">
        <v>1175</v>
      </c>
      <c r="E17" s="649" t="s">
        <v>42</v>
      </c>
      <c r="F17" s="651">
        <v>0.15</v>
      </c>
      <c r="G17" s="652">
        <v>9.52</v>
      </c>
      <c r="H17" s="657"/>
      <c r="I17" s="652"/>
      <c r="J17" s="652">
        <f t="shared" si="1"/>
        <v>1.43</v>
      </c>
      <c r="K17" s="652">
        <f t="shared" si="0"/>
        <v>1.43</v>
      </c>
      <c r="L17" s="652"/>
      <c r="M17" s="652"/>
      <c r="N17" s="652"/>
      <c r="O17" s="652"/>
      <c r="P17" s="706"/>
    </row>
    <row r="18" spans="1:16" s="701" customFormat="1" ht="12" x14ac:dyDescent="0.25">
      <c r="A18" s="707"/>
      <c r="B18" s="667"/>
      <c r="C18" s="667"/>
      <c r="D18" s="668"/>
      <c r="E18" s="667"/>
      <c r="F18" s="669"/>
      <c r="G18" s="670"/>
      <c r="H18" s="708"/>
      <c r="I18" s="670"/>
      <c r="J18" s="670"/>
      <c r="K18" s="670"/>
      <c r="L18" s="670"/>
      <c r="M18" s="670"/>
      <c r="N18" s="670"/>
      <c r="O18" s="670"/>
      <c r="P18" s="709"/>
    </row>
    <row r="19" spans="1:16" s="701" customFormat="1" ht="12" x14ac:dyDescent="0.25">
      <c r="A19" s="703"/>
      <c r="B19" s="644"/>
      <c r="C19" s="644" t="s">
        <v>1332</v>
      </c>
      <c r="D19" s="654" t="s">
        <v>1182</v>
      </c>
      <c r="E19" s="644" t="s">
        <v>56</v>
      </c>
      <c r="F19" s="646"/>
      <c r="G19" s="647"/>
      <c r="H19" s="647">
        <v>176</v>
      </c>
      <c r="I19" s="647">
        <f>SUM(I20:I22)</f>
        <v>1.18</v>
      </c>
      <c r="J19" s="647">
        <f>SUM(J20:J22)</f>
        <v>3.41</v>
      </c>
      <c r="K19" s="647">
        <f>I19+J19</f>
        <v>4.59</v>
      </c>
      <c r="L19" s="647">
        <f>ROUND($H19*I19,2)</f>
        <v>207.68</v>
      </c>
      <c r="M19" s="647">
        <f>ROUND($H19*J19,2)</f>
        <v>600.16</v>
      </c>
      <c r="N19" s="647">
        <f>L19+M19</f>
        <v>807.83999999999992</v>
      </c>
      <c r="O19" s="647">
        <f>ROUND(N19*$P$5,2)</f>
        <v>218.76</v>
      </c>
      <c r="P19" s="704">
        <f>N19+O19</f>
        <v>1026.5999999999999</v>
      </c>
    </row>
    <row r="20" spans="1:16" s="701" customFormat="1" ht="12" x14ac:dyDescent="0.25">
      <c r="A20" s="705" t="s">
        <v>78</v>
      </c>
      <c r="B20" s="649">
        <v>2689</v>
      </c>
      <c r="C20" s="649"/>
      <c r="D20" s="650" t="s">
        <v>1182</v>
      </c>
      <c r="E20" s="649" t="s">
        <v>56</v>
      </c>
      <c r="F20" s="651">
        <v>1</v>
      </c>
      <c r="G20" s="652">
        <v>1.18</v>
      </c>
      <c r="H20" s="657"/>
      <c r="I20" s="656">
        <f>ROUND(F20*G20,2)</f>
        <v>1.18</v>
      </c>
      <c r="J20" s="652"/>
      <c r="K20" s="652">
        <f t="shared" ref="K20:K22" si="2">I20+J20</f>
        <v>1.18</v>
      </c>
      <c r="L20" s="652"/>
      <c r="M20" s="652"/>
      <c r="N20" s="652"/>
      <c r="O20" s="652"/>
      <c r="P20" s="706"/>
    </row>
    <row r="21" spans="1:16" s="701" customFormat="1" ht="12" x14ac:dyDescent="0.25">
      <c r="A21" s="705" t="s">
        <v>78</v>
      </c>
      <c r="B21" s="649">
        <v>2436</v>
      </c>
      <c r="C21" s="649"/>
      <c r="D21" s="650" t="s">
        <v>239</v>
      </c>
      <c r="E21" s="649" t="s">
        <v>42</v>
      </c>
      <c r="F21" s="651">
        <v>0.15</v>
      </c>
      <c r="G21" s="652">
        <v>13.2</v>
      </c>
      <c r="H21" s="657"/>
      <c r="I21" s="652"/>
      <c r="J21" s="652">
        <f t="shared" ref="J21:J22" si="3">ROUND(F21*G21,2)</f>
        <v>1.98</v>
      </c>
      <c r="K21" s="652">
        <f t="shared" si="2"/>
        <v>1.98</v>
      </c>
      <c r="L21" s="652"/>
      <c r="M21" s="652"/>
      <c r="N21" s="652"/>
      <c r="O21" s="652"/>
      <c r="P21" s="706"/>
    </row>
    <row r="22" spans="1:16" s="701" customFormat="1" ht="12" x14ac:dyDescent="0.25">
      <c r="A22" s="705" t="s">
        <v>78</v>
      </c>
      <c r="B22" s="649">
        <v>247</v>
      </c>
      <c r="C22" s="649"/>
      <c r="D22" s="650" t="s">
        <v>1175</v>
      </c>
      <c r="E22" s="649" t="s">
        <v>42</v>
      </c>
      <c r="F22" s="651">
        <v>0.15</v>
      </c>
      <c r="G22" s="652">
        <v>9.52</v>
      </c>
      <c r="H22" s="657"/>
      <c r="I22" s="652"/>
      <c r="J22" s="652">
        <f t="shared" si="3"/>
        <v>1.43</v>
      </c>
      <c r="K22" s="652">
        <f t="shared" si="2"/>
        <v>1.43</v>
      </c>
      <c r="L22" s="652"/>
      <c r="M22" s="652"/>
      <c r="N22" s="652"/>
      <c r="O22" s="652"/>
      <c r="P22" s="706"/>
    </row>
    <row r="23" spans="1:16" s="701" customFormat="1" ht="12" x14ac:dyDescent="0.25">
      <c r="A23" s="705"/>
      <c r="B23" s="649"/>
      <c r="C23" s="649"/>
      <c r="D23" s="650"/>
      <c r="E23" s="649"/>
      <c r="F23" s="651"/>
      <c r="G23" s="652"/>
      <c r="H23" s="657"/>
      <c r="I23" s="652"/>
      <c r="J23" s="652"/>
      <c r="K23" s="652"/>
      <c r="L23" s="652"/>
      <c r="M23" s="652"/>
      <c r="N23" s="652"/>
      <c r="O23" s="652"/>
      <c r="P23" s="706"/>
    </row>
    <row r="24" spans="1:16" s="701" customFormat="1" ht="12" x14ac:dyDescent="0.25">
      <c r="A24" s="703"/>
      <c r="B24" s="644"/>
      <c r="C24" s="644" t="s">
        <v>1333</v>
      </c>
      <c r="D24" s="654" t="s">
        <v>1269</v>
      </c>
      <c r="E24" s="644" t="s">
        <v>56</v>
      </c>
      <c r="F24" s="646"/>
      <c r="G24" s="647"/>
      <c r="H24" s="647">
        <v>16</v>
      </c>
      <c r="I24" s="647">
        <f>SUM(I25:I27)</f>
        <v>1.94</v>
      </c>
      <c r="J24" s="647">
        <f>SUM(J25:J27)</f>
        <v>4.54</v>
      </c>
      <c r="K24" s="647">
        <f>I24+J24</f>
        <v>6.48</v>
      </c>
      <c r="L24" s="647">
        <f>ROUND($H24*I24,2)</f>
        <v>31.04</v>
      </c>
      <c r="M24" s="647">
        <f>ROUND($H24*J24,2)</f>
        <v>72.64</v>
      </c>
      <c r="N24" s="647">
        <f>L24+M24</f>
        <v>103.68</v>
      </c>
      <c r="O24" s="647">
        <f>ROUND(N24*$P$5,2)</f>
        <v>28.08</v>
      </c>
      <c r="P24" s="704">
        <f>N24+O24</f>
        <v>131.76</v>
      </c>
    </row>
    <row r="25" spans="1:16" s="701" customFormat="1" ht="12" x14ac:dyDescent="0.25">
      <c r="A25" s="705" t="s">
        <v>78</v>
      </c>
      <c r="B25" s="649">
        <v>2674</v>
      </c>
      <c r="C25" s="649"/>
      <c r="D25" s="650" t="s">
        <v>1270</v>
      </c>
      <c r="E25" s="649" t="s">
        <v>56</v>
      </c>
      <c r="F25" s="651">
        <v>1</v>
      </c>
      <c r="G25" s="652">
        <v>1.94</v>
      </c>
      <c r="H25" s="657"/>
      <c r="I25" s="656">
        <f>ROUND(F25*G25,2)</f>
        <v>1.94</v>
      </c>
      <c r="J25" s="652"/>
      <c r="K25" s="652">
        <f t="shared" ref="K25:K27" si="4">I25+J25</f>
        <v>1.94</v>
      </c>
      <c r="L25" s="652"/>
      <c r="M25" s="652"/>
      <c r="N25" s="652"/>
      <c r="O25" s="652"/>
      <c r="P25" s="706"/>
    </row>
    <row r="26" spans="1:16" s="701" customFormat="1" ht="12" x14ac:dyDescent="0.25">
      <c r="A26" s="705" t="s">
        <v>78</v>
      </c>
      <c r="B26" s="649">
        <v>2436</v>
      </c>
      <c r="C26" s="649"/>
      <c r="D26" s="650" t="s">
        <v>239</v>
      </c>
      <c r="E26" s="649" t="s">
        <v>42</v>
      </c>
      <c r="F26" s="651">
        <v>0.2</v>
      </c>
      <c r="G26" s="652">
        <v>13.2</v>
      </c>
      <c r="H26" s="657"/>
      <c r="I26" s="652"/>
      <c r="J26" s="652">
        <f t="shared" ref="J26:J27" si="5">ROUND(F26*G26,2)</f>
        <v>2.64</v>
      </c>
      <c r="K26" s="652">
        <f t="shared" si="4"/>
        <v>2.64</v>
      </c>
      <c r="L26" s="652"/>
      <c r="M26" s="652"/>
      <c r="N26" s="652"/>
      <c r="O26" s="652"/>
      <c r="P26" s="706"/>
    </row>
    <row r="27" spans="1:16" s="701" customFormat="1" ht="12" x14ac:dyDescent="0.25">
      <c r="A27" s="705" t="s">
        <v>78</v>
      </c>
      <c r="B27" s="649">
        <v>247</v>
      </c>
      <c r="C27" s="649"/>
      <c r="D27" s="650" t="s">
        <v>1175</v>
      </c>
      <c r="E27" s="649" t="s">
        <v>42</v>
      </c>
      <c r="F27" s="651">
        <v>0.2</v>
      </c>
      <c r="G27" s="652">
        <v>9.52</v>
      </c>
      <c r="H27" s="657"/>
      <c r="I27" s="652"/>
      <c r="J27" s="652">
        <f t="shared" si="5"/>
        <v>1.9</v>
      </c>
      <c r="K27" s="652">
        <f t="shared" si="4"/>
        <v>1.9</v>
      </c>
      <c r="L27" s="652"/>
      <c r="M27" s="652"/>
      <c r="N27" s="652"/>
      <c r="O27" s="652"/>
      <c r="P27" s="706"/>
    </row>
    <row r="28" spans="1:16" s="701" customFormat="1" ht="12" x14ac:dyDescent="0.25">
      <c r="A28" s="705"/>
      <c r="B28" s="649"/>
      <c r="C28" s="649"/>
      <c r="D28" s="650"/>
      <c r="E28" s="649"/>
      <c r="F28" s="651"/>
      <c r="G28" s="652"/>
      <c r="H28" s="657"/>
      <c r="I28" s="652"/>
      <c r="J28" s="652"/>
      <c r="K28" s="652"/>
      <c r="L28" s="652"/>
      <c r="M28" s="652"/>
      <c r="N28" s="652"/>
      <c r="O28" s="652"/>
      <c r="P28" s="706"/>
    </row>
    <row r="29" spans="1:16" s="701" customFormat="1" ht="12" x14ac:dyDescent="0.25">
      <c r="A29" s="703"/>
      <c r="B29" s="644"/>
      <c r="C29" s="644" t="s">
        <v>1334</v>
      </c>
      <c r="D29" s="654" t="s">
        <v>1271</v>
      </c>
      <c r="E29" s="644" t="s">
        <v>56</v>
      </c>
      <c r="F29" s="646"/>
      <c r="G29" s="647"/>
      <c r="H29" s="647">
        <v>18</v>
      </c>
      <c r="I29" s="647">
        <f>SUM(I30:I32)</f>
        <v>5.43</v>
      </c>
      <c r="J29" s="647">
        <f>SUM(J30:J32)</f>
        <v>6.82</v>
      </c>
      <c r="K29" s="647">
        <f>I29+J29</f>
        <v>12.25</v>
      </c>
      <c r="L29" s="647">
        <f>ROUND($H29*I29,2)</f>
        <v>97.74</v>
      </c>
      <c r="M29" s="647">
        <f>ROUND($H29*J29,2)</f>
        <v>122.76</v>
      </c>
      <c r="N29" s="647">
        <f>L29+M29</f>
        <v>220.5</v>
      </c>
      <c r="O29" s="647">
        <f>ROUND(N29*$P$5,2)</f>
        <v>59.71</v>
      </c>
      <c r="P29" s="704">
        <f>N29+O29</f>
        <v>280.20999999999998</v>
      </c>
    </row>
    <row r="30" spans="1:16" s="701" customFormat="1" ht="12" x14ac:dyDescent="0.25">
      <c r="A30" s="705" t="s">
        <v>78</v>
      </c>
      <c r="B30" s="649">
        <v>2680</v>
      </c>
      <c r="C30" s="649"/>
      <c r="D30" s="650" t="s">
        <v>1272</v>
      </c>
      <c r="E30" s="649" t="s">
        <v>56</v>
      </c>
      <c r="F30" s="651">
        <v>1</v>
      </c>
      <c r="G30" s="652">
        <v>5.43</v>
      </c>
      <c r="H30" s="657"/>
      <c r="I30" s="656">
        <v>5.43</v>
      </c>
      <c r="J30" s="652"/>
      <c r="K30" s="652">
        <f t="shared" ref="K30:K32" si="6">I30+J30</f>
        <v>5.43</v>
      </c>
      <c r="L30" s="652"/>
      <c r="M30" s="652"/>
      <c r="N30" s="652"/>
      <c r="O30" s="652"/>
      <c r="P30" s="706"/>
    </row>
    <row r="31" spans="1:16" s="701" customFormat="1" ht="12" x14ac:dyDescent="0.25">
      <c r="A31" s="705" t="s">
        <v>78</v>
      </c>
      <c r="B31" s="649">
        <v>2436</v>
      </c>
      <c r="C31" s="649"/>
      <c r="D31" s="650" t="s">
        <v>239</v>
      </c>
      <c r="E31" s="649" t="s">
        <v>42</v>
      </c>
      <c r="F31" s="651">
        <v>0.3</v>
      </c>
      <c r="G31" s="652">
        <v>13.2</v>
      </c>
      <c r="H31" s="657"/>
      <c r="I31" s="652"/>
      <c r="J31" s="652">
        <f t="shared" ref="J31:J32" si="7">ROUND(F31*G31,2)</f>
        <v>3.96</v>
      </c>
      <c r="K31" s="652">
        <f t="shared" si="6"/>
        <v>3.96</v>
      </c>
      <c r="L31" s="652"/>
      <c r="M31" s="652"/>
      <c r="N31" s="652"/>
      <c r="O31" s="652"/>
      <c r="P31" s="706"/>
    </row>
    <row r="32" spans="1:16" s="701" customFormat="1" ht="12" x14ac:dyDescent="0.25">
      <c r="A32" s="705" t="s">
        <v>78</v>
      </c>
      <c r="B32" s="649">
        <v>247</v>
      </c>
      <c r="C32" s="649"/>
      <c r="D32" s="650" t="s">
        <v>1175</v>
      </c>
      <c r="E32" s="649" t="s">
        <v>42</v>
      </c>
      <c r="F32" s="651">
        <v>0.3</v>
      </c>
      <c r="G32" s="652">
        <v>9.52</v>
      </c>
      <c r="H32" s="657"/>
      <c r="I32" s="652"/>
      <c r="J32" s="652">
        <f t="shared" si="7"/>
        <v>2.86</v>
      </c>
      <c r="K32" s="652">
        <f t="shared" si="6"/>
        <v>2.86</v>
      </c>
      <c r="L32" s="652"/>
      <c r="M32" s="652"/>
      <c r="N32" s="652"/>
      <c r="O32" s="652"/>
      <c r="P32" s="706"/>
    </row>
    <row r="33" spans="1:16" s="701" customFormat="1" ht="12" x14ac:dyDescent="0.25">
      <c r="A33" s="705"/>
      <c r="B33" s="649"/>
      <c r="C33" s="649"/>
      <c r="D33" s="650"/>
      <c r="E33" s="649"/>
      <c r="F33" s="651"/>
      <c r="G33" s="652"/>
      <c r="H33" s="657"/>
      <c r="I33" s="652"/>
      <c r="J33" s="652"/>
      <c r="K33" s="652"/>
      <c r="L33" s="652"/>
      <c r="M33" s="652"/>
      <c r="N33" s="652"/>
      <c r="O33" s="652"/>
      <c r="P33" s="706"/>
    </row>
    <row r="34" spans="1:16" s="648" customFormat="1" ht="12" customHeight="1" x14ac:dyDescent="0.25">
      <c r="A34" s="703"/>
      <c r="B34" s="644"/>
      <c r="C34" s="644" t="s">
        <v>1335</v>
      </c>
      <c r="D34" s="654" t="s">
        <v>1190</v>
      </c>
      <c r="E34" s="644" t="s">
        <v>56</v>
      </c>
      <c r="F34" s="646"/>
      <c r="G34" s="647"/>
      <c r="H34" s="647">
        <v>12</v>
      </c>
      <c r="I34" s="647">
        <f>SUM(I35:I46)</f>
        <v>11.930000000000001</v>
      </c>
      <c r="J34" s="647">
        <f>SUM(J35:J46)</f>
        <v>9.09</v>
      </c>
      <c r="K34" s="647">
        <f>I34+J34</f>
        <v>21.020000000000003</v>
      </c>
      <c r="L34" s="647">
        <f>ROUND($H34*I34,2)</f>
        <v>143.16</v>
      </c>
      <c r="M34" s="647">
        <f>ROUND($H34*J34,2)</f>
        <v>109.08</v>
      </c>
      <c r="N34" s="647">
        <f>L34+M34</f>
        <v>252.24</v>
      </c>
      <c r="O34" s="647">
        <f>ROUND(N34*$P$5,2)</f>
        <v>68.31</v>
      </c>
      <c r="P34" s="704">
        <f>N34+O34</f>
        <v>320.55</v>
      </c>
    </row>
    <row r="35" spans="1:16" s="648" customFormat="1" ht="24" x14ac:dyDescent="0.25">
      <c r="A35" s="705" t="s">
        <v>1273</v>
      </c>
      <c r="B35" s="649" t="s">
        <v>1274</v>
      </c>
      <c r="C35" s="649"/>
      <c r="D35" s="650" t="s">
        <v>1192</v>
      </c>
      <c r="E35" s="649" t="s">
        <v>56</v>
      </c>
      <c r="F35" s="651">
        <v>1</v>
      </c>
      <c r="G35" s="652">
        <v>7.77</v>
      </c>
      <c r="H35" s="657"/>
      <c r="I35" s="652">
        <f t="shared" ref="I35:I44" si="8">ROUND(F35*G35,2)</f>
        <v>7.77</v>
      </c>
      <c r="J35" s="652"/>
      <c r="K35" s="652">
        <f t="shared" ref="K35:K46" si="9">I35+J35</f>
        <v>7.77</v>
      </c>
      <c r="L35" s="652"/>
      <c r="M35" s="652"/>
      <c r="N35" s="652"/>
      <c r="O35" s="652"/>
      <c r="P35" s="706"/>
    </row>
    <row r="36" spans="1:16" s="648" customFormat="1" ht="12" x14ac:dyDescent="0.25">
      <c r="A36" s="705" t="s">
        <v>1142</v>
      </c>
      <c r="B36" s="649" t="s">
        <v>1191</v>
      </c>
      <c r="C36" s="649"/>
      <c r="D36" s="650" t="s">
        <v>1193</v>
      </c>
      <c r="E36" s="649" t="s">
        <v>57</v>
      </c>
      <c r="F36" s="651">
        <v>0.17</v>
      </c>
      <c r="G36" s="652">
        <v>0.9</v>
      </c>
      <c r="H36" s="657"/>
      <c r="I36" s="652">
        <f t="shared" si="8"/>
        <v>0.15</v>
      </c>
      <c r="J36" s="652"/>
      <c r="K36" s="652">
        <f t="shared" si="9"/>
        <v>0.15</v>
      </c>
      <c r="L36" s="652"/>
      <c r="M36" s="652"/>
      <c r="N36" s="652"/>
      <c r="O36" s="652"/>
      <c r="P36" s="706"/>
    </row>
    <row r="37" spans="1:16" s="648" customFormat="1" ht="12" x14ac:dyDescent="0.25">
      <c r="A37" s="705" t="s">
        <v>1142</v>
      </c>
      <c r="B37" s="649" t="s">
        <v>1191</v>
      </c>
      <c r="C37" s="649"/>
      <c r="D37" s="650" t="s">
        <v>1194</v>
      </c>
      <c r="E37" s="649" t="s">
        <v>57</v>
      </c>
      <c r="F37" s="651">
        <v>0.5</v>
      </c>
      <c r="G37" s="652">
        <v>1.04</v>
      </c>
      <c r="H37" s="657"/>
      <c r="I37" s="652">
        <f t="shared" si="8"/>
        <v>0.52</v>
      </c>
      <c r="J37" s="652"/>
      <c r="K37" s="652">
        <f t="shared" si="9"/>
        <v>0.52</v>
      </c>
      <c r="L37" s="652"/>
      <c r="M37" s="652"/>
      <c r="N37" s="652"/>
      <c r="O37" s="652"/>
      <c r="P37" s="706"/>
    </row>
    <row r="38" spans="1:16" s="648" customFormat="1" ht="12" x14ac:dyDescent="0.25">
      <c r="A38" s="705" t="s">
        <v>1142</v>
      </c>
      <c r="B38" s="649" t="s">
        <v>1191</v>
      </c>
      <c r="C38" s="649"/>
      <c r="D38" s="650" t="s">
        <v>1195</v>
      </c>
      <c r="E38" s="649" t="s">
        <v>57</v>
      </c>
      <c r="F38" s="651">
        <v>0.5</v>
      </c>
      <c r="G38" s="652">
        <v>0.86</v>
      </c>
      <c r="H38" s="657"/>
      <c r="I38" s="652">
        <f t="shared" si="8"/>
        <v>0.43</v>
      </c>
      <c r="J38" s="652"/>
      <c r="K38" s="652">
        <f t="shared" si="9"/>
        <v>0.43</v>
      </c>
      <c r="L38" s="652"/>
      <c r="M38" s="652"/>
      <c r="N38" s="652"/>
      <c r="O38" s="652"/>
      <c r="P38" s="706"/>
    </row>
    <row r="39" spans="1:16" s="648" customFormat="1" ht="12" x14ac:dyDescent="0.25">
      <c r="A39" s="705" t="s">
        <v>1142</v>
      </c>
      <c r="B39" s="649" t="s">
        <v>1191</v>
      </c>
      <c r="C39" s="649"/>
      <c r="D39" s="650" t="s">
        <v>1196</v>
      </c>
      <c r="E39" s="649" t="s">
        <v>56</v>
      </c>
      <c r="F39" s="651">
        <v>0.15</v>
      </c>
      <c r="G39" s="652">
        <v>1.4</v>
      </c>
      <c r="H39" s="657"/>
      <c r="I39" s="652">
        <f t="shared" si="8"/>
        <v>0.21</v>
      </c>
      <c r="J39" s="652"/>
      <c r="K39" s="652">
        <f t="shared" si="9"/>
        <v>0.21</v>
      </c>
      <c r="L39" s="652"/>
      <c r="M39" s="652"/>
      <c r="N39" s="652"/>
      <c r="O39" s="652"/>
      <c r="P39" s="706"/>
    </row>
    <row r="40" spans="1:16" s="648" customFormat="1" ht="12" x14ac:dyDescent="0.25">
      <c r="A40" s="705" t="s">
        <v>1142</v>
      </c>
      <c r="B40" s="649" t="s">
        <v>1191</v>
      </c>
      <c r="C40" s="649"/>
      <c r="D40" s="650" t="s">
        <v>1197</v>
      </c>
      <c r="E40" s="649" t="s">
        <v>57</v>
      </c>
      <c r="F40" s="651">
        <v>1</v>
      </c>
      <c r="G40" s="652">
        <v>2.12</v>
      </c>
      <c r="H40" s="657"/>
      <c r="I40" s="652">
        <f t="shared" si="8"/>
        <v>2.12</v>
      </c>
      <c r="J40" s="652"/>
      <c r="K40" s="652">
        <f t="shared" si="9"/>
        <v>2.12</v>
      </c>
      <c r="L40" s="652"/>
      <c r="M40" s="652"/>
      <c r="N40" s="652"/>
      <c r="O40" s="652"/>
      <c r="P40" s="706"/>
    </row>
    <row r="41" spans="1:16" s="648" customFormat="1" ht="12" x14ac:dyDescent="0.25">
      <c r="A41" s="705" t="s">
        <v>78</v>
      </c>
      <c r="B41" s="649">
        <v>4350</v>
      </c>
      <c r="C41" s="649"/>
      <c r="D41" s="650" t="s">
        <v>1198</v>
      </c>
      <c r="E41" s="649" t="s">
        <v>57</v>
      </c>
      <c r="F41" s="651">
        <v>1</v>
      </c>
      <c r="G41" s="652">
        <v>0.48</v>
      </c>
      <c r="H41" s="657"/>
      <c r="I41" s="652">
        <f t="shared" si="8"/>
        <v>0.48</v>
      </c>
      <c r="J41" s="652"/>
      <c r="K41" s="652">
        <f t="shared" si="9"/>
        <v>0.48</v>
      </c>
      <c r="L41" s="652"/>
      <c r="M41" s="652"/>
      <c r="N41" s="652"/>
      <c r="O41" s="652"/>
      <c r="P41" s="706"/>
    </row>
    <row r="42" spans="1:16" s="648" customFormat="1" ht="12" x14ac:dyDescent="0.25">
      <c r="A42" s="705" t="s">
        <v>1142</v>
      </c>
      <c r="B42" s="649" t="s">
        <v>1191</v>
      </c>
      <c r="C42" s="649"/>
      <c r="D42" s="650" t="s">
        <v>1199</v>
      </c>
      <c r="E42" s="649" t="s">
        <v>57</v>
      </c>
      <c r="F42" s="651">
        <v>1.67</v>
      </c>
      <c r="G42" s="652">
        <v>0.08</v>
      </c>
      <c r="H42" s="657"/>
      <c r="I42" s="652">
        <f t="shared" si="8"/>
        <v>0.13</v>
      </c>
      <c r="J42" s="652"/>
      <c r="K42" s="652">
        <f t="shared" si="9"/>
        <v>0.13</v>
      </c>
      <c r="L42" s="652"/>
      <c r="M42" s="652"/>
      <c r="N42" s="652"/>
      <c r="O42" s="652"/>
      <c r="P42" s="706"/>
    </row>
    <row r="43" spans="1:16" s="648" customFormat="1" ht="12" x14ac:dyDescent="0.25">
      <c r="A43" s="705" t="s">
        <v>1142</v>
      </c>
      <c r="B43" s="649" t="s">
        <v>1191</v>
      </c>
      <c r="C43" s="649"/>
      <c r="D43" s="650" t="s">
        <v>1200</v>
      </c>
      <c r="E43" s="649" t="s">
        <v>57</v>
      </c>
      <c r="F43" s="651">
        <v>1.67</v>
      </c>
      <c r="G43" s="652">
        <v>0.04</v>
      </c>
      <c r="H43" s="657"/>
      <c r="I43" s="652">
        <f t="shared" si="8"/>
        <v>7.0000000000000007E-2</v>
      </c>
      <c r="J43" s="652"/>
      <c r="K43" s="652">
        <f t="shared" si="9"/>
        <v>7.0000000000000007E-2</v>
      </c>
      <c r="L43" s="652"/>
      <c r="M43" s="652"/>
      <c r="N43" s="652"/>
      <c r="O43" s="652"/>
      <c r="P43" s="706"/>
    </row>
    <row r="44" spans="1:16" s="648" customFormat="1" ht="12" x14ac:dyDescent="0.25">
      <c r="A44" s="705" t="s">
        <v>1142</v>
      </c>
      <c r="B44" s="649" t="s">
        <v>1191</v>
      </c>
      <c r="C44" s="649"/>
      <c r="D44" s="650" t="s">
        <v>1201</v>
      </c>
      <c r="E44" s="649" t="s">
        <v>57</v>
      </c>
      <c r="F44" s="651">
        <v>1.67</v>
      </c>
      <c r="G44" s="652">
        <v>0.03</v>
      </c>
      <c r="H44" s="657"/>
      <c r="I44" s="652">
        <f t="shared" si="8"/>
        <v>0.05</v>
      </c>
      <c r="J44" s="652"/>
      <c r="K44" s="652">
        <f t="shared" si="9"/>
        <v>0.05</v>
      </c>
      <c r="L44" s="652"/>
      <c r="M44" s="652"/>
      <c r="N44" s="652"/>
      <c r="O44" s="652"/>
      <c r="P44" s="706"/>
    </row>
    <row r="45" spans="1:16" s="648" customFormat="1" ht="12" x14ac:dyDescent="0.25">
      <c r="A45" s="705" t="s">
        <v>78</v>
      </c>
      <c r="B45" s="649">
        <v>2436</v>
      </c>
      <c r="C45" s="649"/>
      <c r="D45" s="650" t="s">
        <v>239</v>
      </c>
      <c r="E45" s="649" t="s">
        <v>42</v>
      </c>
      <c r="F45" s="651">
        <v>0.4</v>
      </c>
      <c r="G45" s="652">
        <v>13.2</v>
      </c>
      <c r="H45" s="657"/>
      <c r="I45" s="652"/>
      <c r="J45" s="652">
        <f>ROUND(F45*G45,2)</f>
        <v>5.28</v>
      </c>
      <c r="K45" s="652">
        <f t="shared" si="9"/>
        <v>5.28</v>
      </c>
      <c r="L45" s="652"/>
      <c r="M45" s="652"/>
      <c r="N45" s="652"/>
      <c r="O45" s="652"/>
      <c r="P45" s="706"/>
    </row>
    <row r="46" spans="1:16" s="648" customFormat="1" ht="12" x14ac:dyDescent="0.25">
      <c r="A46" s="705" t="s">
        <v>78</v>
      </c>
      <c r="B46" s="649">
        <v>247</v>
      </c>
      <c r="C46" s="649"/>
      <c r="D46" s="650" t="s">
        <v>1175</v>
      </c>
      <c r="E46" s="649" t="s">
        <v>42</v>
      </c>
      <c r="F46" s="651">
        <v>0.4</v>
      </c>
      <c r="G46" s="652">
        <v>9.52</v>
      </c>
      <c r="H46" s="657"/>
      <c r="I46" s="652"/>
      <c r="J46" s="652">
        <f>ROUND(F46*G46,2)</f>
        <v>3.81</v>
      </c>
      <c r="K46" s="652">
        <f t="shared" si="9"/>
        <v>3.81</v>
      </c>
      <c r="L46" s="652"/>
      <c r="M46" s="652"/>
      <c r="N46" s="652"/>
      <c r="O46" s="652"/>
      <c r="P46" s="706"/>
    </row>
    <row r="47" spans="1:16" s="701" customFormat="1" ht="12" x14ac:dyDescent="0.25">
      <c r="A47" s="705"/>
      <c r="B47" s="649"/>
      <c r="C47" s="649"/>
      <c r="D47" s="650"/>
      <c r="E47" s="649"/>
      <c r="F47" s="651"/>
      <c r="G47" s="652"/>
      <c r="H47" s="657"/>
      <c r="I47" s="652"/>
      <c r="J47" s="652"/>
      <c r="K47" s="652"/>
      <c r="L47" s="652"/>
      <c r="M47" s="652"/>
      <c r="N47" s="652"/>
      <c r="O47" s="652"/>
      <c r="P47" s="706"/>
    </row>
    <row r="48" spans="1:16" s="648" customFormat="1" ht="12" customHeight="1" x14ac:dyDescent="0.25">
      <c r="A48" s="703"/>
      <c r="B48" s="644"/>
      <c r="C48" s="644" t="s">
        <v>1336</v>
      </c>
      <c r="D48" s="654" t="s">
        <v>1202</v>
      </c>
      <c r="E48" s="644" t="s">
        <v>56</v>
      </c>
      <c r="F48" s="646"/>
      <c r="G48" s="647"/>
      <c r="H48" s="647">
        <v>12</v>
      </c>
      <c r="I48" s="647">
        <f>SUM(I49:I60)</f>
        <v>17.93</v>
      </c>
      <c r="J48" s="647">
        <f>SUM(J49:J60)</f>
        <v>13.629999999999999</v>
      </c>
      <c r="K48" s="647">
        <f>I48+J48</f>
        <v>31.56</v>
      </c>
      <c r="L48" s="647">
        <f>ROUND($H48*I48,2)</f>
        <v>215.16</v>
      </c>
      <c r="M48" s="647">
        <f>ROUND($H48*J48,2)</f>
        <v>163.56</v>
      </c>
      <c r="N48" s="647">
        <f>L48+M48</f>
        <v>378.72</v>
      </c>
      <c r="O48" s="647">
        <f>ROUND(N48*$P$5,2)</f>
        <v>102.56</v>
      </c>
      <c r="P48" s="704">
        <f>N48+O48</f>
        <v>481.28000000000003</v>
      </c>
    </row>
    <row r="49" spans="1:16" s="648" customFormat="1" ht="12" x14ac:dyDescent="0.25">
      <c r="A49" s="705" t="s">
        <v>1142</v>
      </c>
      <c r="B49" s="649" t="s">
        <v>1191</v>
      </c>
      <c r="C49" s="649"/>
      <c r="D49" s="650" t="s">
        <v>1203</v>
      </c>
      <c r="E49" s="649" t="s">
        <v>56</v>
      </c>
      <c r="F49" s="651">
        <v>1</v>
      </c>
      <c r="G49" s="652">
        <v>11.18</v>
      </c>
      <c r="H49" s="651"/>
      <c r="I49" s="652">
        <f>ROUND(F49*G49,2)</f>
        <v>11.18</v>
      </c>
      <c r="J49" s="652"/>
      <c r="K49" s="652">
        <f t="shared" ref="K49:K60" si="10">I49+J49</f>
        <v>11.18</v>
      </c>
      <c r="L49" s="652"/>
      <c r="M49" s="652"/>
      <c r="N49" s="652"/>
      <c r="O49" s="652"/>
      <c r="P49" s="706"/>
    </row>
    <row r="50" spans="1:16" s="648" customFormat="1" ht="19.5" customHeight="1" x14ac:dyDescent="0.25">
      <c r="A50" s="705" t="s">
        <v>1142</v>
      </c>
      <c r="B50" s="649" t="s">
        <v>1191</v>
      </c>
      <c r="C50" s="649"/>
      <c r="D50" s="650" t="s">
        <v>1204</v>
      </c>
      <c r="E50" s="649" t="s">
        <v>57</v>
      </c>
      <c r="F50" s="651">
        <v>0.33</v>
      </c>
      <c r="G50" s="652">
        <v>4.53</v>
      </c>
      <c r="H50" s="651"/>
      <c r="I50" s="652">
        <f t="shared" ref="I50:I58" si="11">ROUND(F50*G50,2)</f>
        <v>1.49</v>
      </c>
      <c r="J50" s="652"/>
      <c r="K50" s="652">
        <f t="shared" si="10"/>
        <v>1.49</v>
      </c>
      <c r="L50" s="652"/>
      <c r="M50" s="652"/>
      <c r="N50" s="652"/>
      <c r="O50" s="652"/>
      <c r="P50" s="706"/>
    </row>
    <row r="51" spans="1:16" s="648" customFormat="1" ht="12" x14ac:dyDescent="0.25">
      <c r="A51" s="705" t="s">
        <v>1142</v>
      </c>
      <c r="B51" s="649" t="s">
        <v>1191</v>
      </c>
      <c r="C51" s="649"/>
      <c r="D51" s="650" t="s">
        <v>1205</v>
      </c>
      <c r="E51" s="649" t="s">
        <v>57</v>
      </c>
      <c r="F51" s="651">
        <v>0.67</v>
      </c>
      <c r="G51" s="652">
        <v>3.1</v>
      </c>
      <c r="H51" s="651"/>
      <c r="I51" s="652">
        <f t="shared" si="11"/>
        <v>2.08</v>
      </c>
      <c r="J51" s="652"/>
      <c r="K51" s="652">
        <f t="shared" si="10"/>
        <v>2.08</v>
      </c>
      <c r="L51" s="652"/>
      <c r="M51" s="652"/>
      <c r="N51" s="652"/>
      <c r="O51" s="652"/>
      <c r="P51" s="706"/>
    </row>
    <row r="52" spans="1:16" s="648" customFormat="1" ht="12" x14ac:dyDescent="0.25">
      <c r="A52" s="705" t="s">
        <v>1142</v>
      </c>
      <c r="B52" s="649" t="s">
        <v>1191</v>
      </c>
      <c r="C52" s="649"/>
      <c r="D52" s="650" t="s">
        <v>1195</v>
      </c>
      <c r="E52" s="649" t="s">
        <v>57</v>
      </c>
      <c r="F52" s="651">
        <v>0.67</v>
      </c>
      <c r="G52" s="652">
        <v>0.86</v>
      </c>
      <c r="H52" s="651"/>
      <c r="I52" s="652">
        <f t="shared" si="11"/>
        <v>0.57999999999999996</v>
      </c>
      <c r="J52" s="652"/>
      <c r="K52" s="652">
        <f t="shared" si="10"/>
        <v>0.57999999999999996</v>
      </c>
      <c r="L52" s="652"/>
      <c r="M52" s="652"/>
      <c r="N52" s="652"/>
      <c r="O52" s="652"/>
      <c r="P52" s="706"/>
    </row>
    <row r="53" spans="1:16" s="648" customFormat="1" ht="12" x14ac:dyDescent="0.25">
      <c r="A53" s="705" t="s">
        <v>1142</v>
      </c>
      <c r="B53" s="649" t="s">
        <v>1206</v>
      </c>
      <c r="C53" s="649"/>
      <c r="D53" s="650" t="s">
        <v>1196</v>
      </c>
      <c r="E53" s="649" t="s">
        <v>56</v>
      </c>
      <c r="F53" s="651">
        <v>0.2</v>
      </c>
      <c r="G53" s="652">
        <v>1.4</v>
      </c>
      <c r="H53" s="651"/>
      <c r="I53" s="652">
        <f t="shared" si="11"/>
        <v>0.28000000000000003</v>
      </c>
      <c r="J53" s="652"/>
      <c r="K53" s="652">
        <f t="shared" si="10"/>
        <v>0.28000000000000003</v>
      </c>
      <c r="L53" s="652"/>
      <c r="M53" s="652"/>
      <c r="N53" s="652"/>
      <c r="O53" s="652"/>
      <c r="P53" s="706"/>
    </row>
    <row r="54" spans="1:16" s="648" customFormat="1" ht="12" x14ac:dyDescent="0.25">
      <c r="A54" s="705" t="s">
        <v>1142</v>
      </c>
      <c r="B54" s="649" t="s">
        <v>1191</v>
      </c>
      <c r="C54" s="649"/>
      <c r="D54" s="650" t="s">
        <v>1197</v>
      </c>
      <c r="E54" s="649" t="s">
        <v>57</v>
      </c>
      <c r="F54" s="651">
        <v>1</v>
      </c>
      <c r="G54" s="652">
        <v>0.78</v>
      </c>
      <c r="H54" s="651"/>
      <c r="I54" s="652">
        <f t="shared" si="11"/>
        <v>0.78</v>
      </c>
      <c r="J54" s="652"/>
      <c r="K54" s="652">
        <f t="shared" si="10"/>
        <v>0.78</v>
      </c>
      <c r="L54" s="652"/>
      <c r="M54" s="652"/>
      <c r="N54" s="652"/>
      <c r="O54" s="652"/>
      <c r="P54" s="706"/>
    </row>
    <row r="55" spans="1:16" s="648" customFormat="1" ht="12" x14ac:dyDescent="0.25">
      <c r="A55" s="705" t="s">
        <v>78</v>
      </c>
      <c r="B55" s="649">
        <v>4350</v>
      </c>
      <c r="C55" s="649"/>
      <c r="D55" s="650" t="s">
        <v>1198</v>
      </c>
      <c r="E55" s="649" t="s">
        <v>57</v>
      </c>
      <c r="F55" s="651">
        <v>1.33</v>
      </c>
      <c r="G55" s="652">
        <v>0.48</v>
      </c>
      <c r="H55" s="651"/>
      <c r="I55" s="652">
        <f t="shared" si="11"/>
        <v>0.64</v>
      </c>
      <c r="J55" s="652"/>
      <c r="K55" s="652">
        <f t="shared" si="10"/>
        <v>0.64</v>
      </c>
      <c r="L55" s="652"/>
      <c r="M55" s="652"/>
      <c r="N55" s="652"/>
      <c r="O55" s="652"/>
      <c r="P55" s="706"/>
    </row>
    <row r="56" spans="1:16" s="648" customFormat="1" ht="12" x14ac:dyDescent="0.25">
      <c r="A56" s="705" t="s">
        <v>1142</v>
      </c>
      <c r="B56" s="649" t="s">
        <v>1191</v>
      </c>
      <c r="C56" s="649"/>
      <c r="D56" s="650" t="s">
        <v>1199</v>
      </c>
      <c r="E56" s="649" t="s">
        <v>57</v>
      </c>
      <c r="F56" s="651">
        <v>6</v>
      </c>
      <c r="G56" s="652">
        <v>0.08</v>
      </c>
      <c r="H56" s="651"/>
      <c r="I56" s="652">
        <f t="shared" si="11"/>
        <v>0.48</v>
      </c>
      <c r="J56" s="652"/>
      <c r="K56" s="652">
        <f t="shared" si="10"/>
        <v>0.48</v>
      </c>
      <c r="L56" s="652"/>
      <c r="M56" s="652"/>
      <c r="N56" s="652"/>
      <c r="O56" s="652"/>
      <c r="P56" s="706"/>
    </row>
    <row r="57" spans="1:16" s="648" customFormat="1" ht="12" x14ac:dyDescent="0.25">
      <c r="A57" s="705" t="s">
        <v>1142</v>
      </c>
      <c r="B57" s="649" t="s">
        <v>1191</v>
      </c>
      <c r="C57" s="649"/>
      <c r="D57" s="650" t="s">
        <v>1200</v>
      </c>
      <c r="E57" s="649" t="s">
        <v>57</v>
      </c>
      <c r="F57" s="651">
        <v>6</v>
      </c>
      <c r="G57" s="652">
        <v>0.04</v>
      </c>
      <c r="H57" s="651"/>
      <c r="I57" s="652">
        <f t="shared" si="11"/>
        <v>0.24</v>
      </c>
      <c r="J57" s="652"/>
      <c r="K57" s="652">
        <f t="shared" si="10"/>
        <v>0.24</v>
      </c>
      <c r="L57" s="652"/>
      <c r="M57" s="652"/>
      <c r="N57" s="652"/>
      <c r="O57" s="652"/>
      <c r="P57" s="706"/>
    </row>
    <row r="58" spans="1:16" s="648" customFormat="1" ht="12" x14ac:dyDescent="0.25">
      <c r="A58" s="705" t="s">
        <v>1142</v>
      </c>
      <c r="B58" s="649" t="s">
        <v>1191</v>
      </c>
      <c r="C58" s="649"/>
      <c r="D58" s="650" t="s">
        <v>1201</v>
      </c>
      <c r="E58" s="649" t="s">
        <v>57</v>
      </c>
      <c r="F58" s="651">
        <v>6</v>
      </c>
      <c r="G58" s="652">
        <v>0.03</v>
      </c>
      <c r="H58" s="651"/>
      <c r="I58" s="652">
        <f t="shared" si="11"/>
        <v>0.18</v>
      </c>
      <c r="J58" s="652"/>
      <c r="K58" s="652">
        <f t="shared" si="10"/>
        <v>0.18</v>
      </c>
      <c r="L58" s="652"/>
      <c r="M58" s="652"/>
      <c r="N58" s="652"/>
      <c r="O58" s="652"/>
      <c r="P58" s="706"/>
    </row>
    <row r="59" spans="1:16" s="648" customFormat="1" ht="12" customHeight="1" x14ac:dyDescent="0.25">
      <c r="A59" s="705" t="s">
        <v>78</v>
      </c>
      <c r="B59" s="649">
        <v>2436</v>
      </c>
      <c r="C59" s="649"/>
      <c r="D59" s="650" t="s">
        <v>239</v>
      </c>
      <c r="E59" s="649" t="s">
        <v>42</v>
      </c>
      <c r="F59" s="651">
        <v>0.6</v>
      </c>
      <c r="G59" s="652">
        <v>13.2</v>
      </c>
      <c r="H59" s="651"/>
      <c r="I59" s="652"/>
      <c r="J59" s="652">
        <f>ROUND(F59*G59,2)</f>
        <v>7.92</v>
      </c>
      <c r="K59" s="652">
        <f t="shared" si="10"/>
        <v>7.92</v>
      </c>
      <c r="L59" s="652"/>
      <c r="M59" s="652"/>
      <c r="N59" s="652"/>
      <c r="O59" s="652"/>
      <c r="P59" s="706"/>
    </row>
    <row r="60" spans="1:16" s="648" customFormat="1" ht="12" x14ac:dyDescent="0.25">
      <c r="A60" s="705" t="s">
        <v>78</v>
      </c>
      <c r="B60" s="649">
        <v>247</v>
      </c>
      <c r="C60" s="649"/>
      <c r="D60" s="650" t="s">
        <v>1175</v>
      </c>
      <c r="E60" s="649" t="s">
        <v>42</v>
      </c>
      <c r="F60" s="651">
        <v>0.6</v>
      </c>
      <c r="G60" s="652">
        <v>9.52</v>
      </c>
      <c r="H60" s="651"/>
      <c r="I60" s="652"/>
      <c r="J60" s="652">
        <f>ROUND(F60*G60,2)</f>
        <v>5.71</v>
      </c>
      <c r="K60" s="652">
        <f t="shared" si="10"/>
        <v>5.71</v>
      </c>
      <c r="L60" s="652"/>
      <c r="M60" s="652"/>
      <c r="N60" s="652"/>
      <c r="O60" s="652"/>
      <c r="P60" s="706"/>
    </row>
    <row r="61" spans="1:16" s="701" customFormat="1" ht="12" x14ac:dyDescent="0.25">
      <c r="A61" s="705"/>
      <c r="B61" s="649"/>
      <c r="C61" s="649"/>
      <c r="D61" s="650"/>
      <c r="E61" s="649"/>
      <c r="F61" s="651"/>
      <c r="G61" s="652"/>
      <c r="H61" s="657"/>
      <c r="I61" s="652"/>
      <c r="J61" s="652"/>
      <c r="K61" s="652"/>
      <c r="L61" s="652"/>
      <c r="M61" s="652"/>
      <c r="N61" s="652"/>
      <c r="O61" s="652"/>
      <c r="P61" s="706"/>
    </row>
    <row r="62" spans="1:16" s="648" customFormat="1" ht="24" x14ac:dyDescent="0.25">
      <c r="A62" s="703"/>
      <c r="B62" s="644"/>
      <c r="C62" s="644" t="s">
        <v>1337</v>
      </c>
      <c r="D62" s="654" t="s">
        <v>1230</v>
      </c>
      <c r="E62" s="644" t="s">
        <v>57</v>
      </c>
      <c r="F62" s="646"/>
      <c r="G62" s="647"/>
      <c r="H62" s="647">
        <v>15</v>
      </c>
      <c r="I62" s="647">
        <f>SUM(I63:I70)</f>
        <v>68.740000000000009</v>
      </c>
      <c r="J62" s="647">
        <f>SUM(J63:J70)</f>
        <v>22.72</v>
      </c>
      <c r="K62" s="647">
        <f>I62+J62</f>
        <v>91.460000000000008</v>
      </c>
      <c r="L62" s="647">
        <f>ROUND($H62*I62,2)</f>
        <v>1031.0999999999999</v>
      </c>
      <c r="M62" s="647">
        <f>ROUND($H62*J62,2)</f>
        <v>340.8</v>
      </c>
      <c r="N62" s="647">
        <f>L62+M62</f>
        <v>1371.8999999999999</v>
      </c>
      <c r="O62" s="647">
        <f>ROUND(N62*$P$5,2)</f>
        <v>371.51</v>
      </c>
      <c r="P62" s="704">
        <f>N62+O62</f>
        <v>1743.4099999999999</v>
      </c>
    </row>
    <row r="63" spans="1:16" s="648" customFormat="1" ht="36" x14ac:dyDescent="0.25">
      <c r="A63" s="705" t="s">
        <v>1142</v>
      </c>
      <c r="B63" s="655" t="s">
        <v>1231</v>
      </c>
      <c r="C63" s="649"/>
      <c r="D63" s="650" t="s">
        <v>1232</v>
      </c>
      <c r="E63" s="649" t="s">
        <v>57</v>
      </c>
      <c r="F63" s="651">
        <v>1</v>
      </c>
      <c r="G63" s="656">
        <v>34.5</v>
      </c>
      <c r="H63" s="657"/>
      <c r="I63" s="652">
        <f t="shared" ref="I63:I68" si="12">ROUND(F63*G63,2)</f>
        <v>34.5</v>
      </c>
      <c r="J63" s="652"/>
      <c r="K63" s="652">
        <f t="shared" ref="K63:K70" si="13">I63+J63</f>
        <v>34.5</v>
      </c>
      <c r="L63" s="652"/>
      <c r="M63" s="652"/>
      <c r="N63" s="652"/>
      <c r="O63" s="652"/>
      <c r="P63" s="706"/>
    </row>
    <row r="64" spans="1:16" s="648" customFormat="1" ht="12" x14ac:dyDescent="0.25">
      <c r="A64" s="705" t="s">
        <v>1142</v>
      </c>
      <c r="B64" s="649" t="s">
        <v>1233</v>
      </c>
      <c r="C64" s="649"/>
      <c r="D64" s="650" t="s">
        <v>1234</v>
      </c>
      <c r="E64" s="649" t="s">
        <v>57</v>
      </c>
      <c r="F64" s="651">
        <v>2</v>
      </c>
      <c r="G64" s="652">
        <v>10.6</v>
      </c>
      <c r="H64" s="657"/>
      <c r="I64" s="652">
        <f t="shared" si="12"/>
        <v>21.2</v>
      </c>
      <c r="J64" s="652"/>
      <c r="K64" s="652">
        <f t="shared" si="13"/>
        <v>21.2</v>
      </c>
      <c r="L64" s="652"/>
      <c r="M64" s="652"/>
      <c r="N64" s="652"/>
      <c r="O64" s="652"/>
      <c r="P64" s="706"/>
    </row>
    <row r="65" spans="1:16" s="648" customFormat="1" ht="12" x14ac:dyDescent="0.25">
      <c r="A65" s="705" t="s">
        <v>1142</v>
      </c>
      <c r="B65" s="649" t="s">
        <v>1235</v>
      </c>
      <c r="C65" s="649"/>
      <c r="D65" s="650" t="s">
        <v>1236</v>
      </c>
      <c r="E65" s="649" t="s">
        <v>57</v>
      </c>
      <c r="F65" s="651">
        <v>1</v>
      </c>
      <c r="G65" s="652">
        <v>1.45</v>
      </c>
      <c r="H65" s="657"/>
      <c r="I65" s="652">
        <f t="shared" si="12"/>
        <v>1.45</v>
      </c>
      <c r="J65" s="652"/>
      <c r="K65" s="652">
        <f t="shared" si="13"/>
        <v>1.45</v>
      </c>
      <c r="L65" s="652"/>
      <c r="M65" s="652"/>
      <c r="N65" s="652"/>
      <c r="O65" s="652"/>
      <c r="P65" s="706"/>
    </row>
    <row r="66" spans="1:16" s="648" customFormat="1" ht="12" x14ac:dyDescent="0.25">
      <c r="A66" s="705" t="s">
        <v>1142</v>
      </c>
      <c r="B66" s="649" t="s">
        <v>1237</v>
      </c>
      <c r="C66" s="649"/>
      <c r="D66" s="650" t="s">
        <v>1238</v>
      </c>
      <c r="E66" s="649" t="s">
        <v>57</v>
      </c>
      <c r="F66" s="651">
        <v>1</v>
      </c>
      <c r="G66" s="652">
        <v>4.17</v>
      </c>
      <c r="H66" s="657"/>
      <c r="I66" s="652">
        <f t="shared" si="12"/>
        <v>4.17</v>
      </c>
      <c r="J66" s="652"/>
      <c r="K66" s="652">
        <f t="shared" si="13"/>
        <v>4.17</v>
      </c>
      <c r="L66" s="652"/>
      <c r="M66" s="652"/>
      <c r="N66" s="652"/>
      <c r="O66" s="652"/>
      <c r="P66" s="706"/>
    </row>
    <row r="67" spans="1:16" s="648" customFormat="1" ht="12" x14ac:dyDescent="0.25">
      <c r="A67" s="705" t="s">
        <v>1142</v>
      </c>
      <c r="B67" s="649" t="s">
        <v>1237</v>
      </c>
      <c r="C67" s="649"/>
      <c r="D67" s="650" t="s">
        <v>1239</v>
      </c>
      <c r="E67" s="649" t="s">
        <v>57</v>
      </c>
      <c r="F67" s="651">
        <v>1</v>
      </c>
      <c r="G67" s="652">
        <v>4.22</v>
      </c>
      <c r="H67" s="657"/>
      <c r="I67" s="652">
        <f t="shared" si="12"/>
        <v>4.22</v>
      </c>
      <c r="J67" s="652"/>
      <c r="K67" s="652">
        <f t="shared" si="13"/>
        <v>4.22</v>
      </c>
      <c r="L67" s="652"/>
      <c r="M67" s="652"/>
      <c r="N67" s="652"/>
      <c r="O67" s="652"/>
      <c r="P67" s="706"/>
    </row>
    <row r="68" spans="1:16" s="648" customFormat="1" ht="12" x14ac:dyDescent="0.25">
      <c r="A68" s="705" t="s">
        <v>1142</v>
      </c>
      <c r="B68" s="649" t="s">
        <v>1240</v>
      </c>
      <c r="C68" s="649"/>
      <c r="D68" s="650" t="s">
        <v>1241</v>
      </c>
      <c r="E68" s="649" t="s">
        <v>56</v>
      </c>
      <c r="F68" s="651">
        <v>2</v>
      </c>
      <c r="G68" s="652">
        <v>1.6</v>
      </c>
      <c r="H68" s="657"/>
      <c r="I68" s="652">
        <f t="shared" si="12"/>
        <v>3.2</v>
      </c>
      <c r="J68" s="652"/>
      <c r="K68" s="652">
        <f t="shared" si="13"/>
        <v>3.2</v>
      </c>
      <c r="L68" s="652"/>
      <c r="M68" s="652"/>
      <c r="N68" s="652"/>
      <c r="O68" s="652"/>
      <c r="P68" s="706"/>
    </row>
    <row r="69" spans="1:16" s="648" customFormat="1" ht="12" x14ac:dyDescent="0.25">
      <c r="A69" s="705" t="s">
        <v>78</v>
      </c>
      <c r="B69" s="649">
        <v>2436</v>
      </c>
      <c r="C69" s="649"/>
      <c r="D69" s="650" t="s">
        <v>239</v>
      </c>
      <c r="E69" s="649" t="s">
        <v>42</v>
      </c>
      <c r="F69" s="651">
        <v>1</v>
      </c>
      <c r="G69" s="652">
        <v>13.2</v>
      </c>
      <c r="H69" s="657"/>
      <c r="I69" s="652"/>
      <c r="J69" s="652">
        <f>ROUND(F69*G69,2)</f>
        <v>13.2</v>
      </c>
      <c r="K69" s="652">
        <f t="shared" si="13"/>
        <v>13.2</v>
      </c>
      <c r="L69" s="652"/>
      <c r="M69" s="652"/>
      <c r="N69" s="652"/>
      <c r="O69" s="652"/>
      <c r="P69" s="706"/>
    </row>
    <row r="70" spans="1:16" s="648" customFormat="1" ht="12" x14ac:dyDescent="0.25">
      <c r="A70" s="705" t="s">
        <v>78</v>
      </c>
      <c r="B70" s="649">
        <v>247</v>
      </c>
      <c r="C70" s="649"/>
      <c r="D70" s="650" t="s">
        <v>1175</v>
      </c>
      <c r="E70" s="649" t="s">
        <v>42</v>
      </c>
      <c r="F70" s="651">
        <v>1</v>
      </c>
      <c r="G70" s="652">
        <v>9.52</v>
      </c>
      <c r="H70" s="657"/>
      <c r="I70" s="652"/>
      <c r="J70" s="652">
        <f>ROUND(F70*G70,2)</f>
        <v>9.52</v>
      </c>
      <c r="K70" s="652">
        <f t="shared" si="13"/>
        <v>9.52</v>
      </c>
      <c r="L70" s="652"/>
      <c r="M70" s="652"/>
      <c r="N70" s="652"/>
      <c r="O70" s="652"/>
      <c r="P70" s="706"/>
    </row>
    <row r="71" spans="1:16" x14ac:dyDescent="0.25">
      <c r="A71" s="697"/>
      <c r="B71" s="698"/>
      <c r="C71" s="698"/>
      <c r="D71" s="698"/>
      <c r="E71" s="698"/>
      <c r="F71" s="698"/>
      <c r="G71" s="698"/>
      <c r="H71" s="698"/>
      <c r="I71" s="698"/>
      <c r="J71" s="698"/>
      <c r="K71" s="698"/>
      <c r="L71" s="698"/>
      <c r="M71" s="698"/>
      <c r="N71" s="698"/>
      <c r="O71" s="698"/>
      <c r="P71" s="699"/>
    </row>
    <row r="72" spans="1:16" s="648" customFormat="1" ht="12" x14ac:dyDescent="0.25">
      <c r="A72" s="703"/>
      <c r="B72" s="644"/>
      <c r="C72" s="644" t="s">
        <v>1338</v>
      </c>
      <c r="D72" s="654" t="s">
        <v>1275</v>
      </c>
      <c r="E72" s="644" t="s">
        <v>57</v>
      </c>
      <c r="F72" s="646"/>
      <c r="G72" s="647"/>
      <c r="H72" s="646">
        <v>6</v>
      </c>
      <c r="I72" s="647">
        <f>SUM(I73:I79)</f>
        <v>899.84</v>
      </c>
      <c r="J72" s="647">
        <f>SUM(J73:J79)</f>
        <v>34.08</v>
      </c>
      <c r="K72" s="647">
        <f>I72+J72</f>
        <v>933.92000000000007</v>
      </c>
      <c r="L72" s="647">
        <f>ROUND($H72*I72,2)</f>
        <v>5399.04</v>
      </c>
      <c r="M72" s="647">
        <f>ROUND($H72*J72,2)</f>
        <v>204.48</v>
      </c>
      <c r="N72" s="647">
        <f>L72+M72</f>
        <v>5603.5199999999995</v>
      </c>
      <c r="O72" s="647">
        <f>ROUND(N72*$P$5,2)</f>
        <v>1517.43</v>
      </c>
      <c r="P72" s="704">
        <f>N72+O72</f>
        <v>7120.95</v>
      </c>
    </row>
    <row r="73" spans="1:16" s="648" customFormat="1" ht="60" x14ac:dyDescent="0.25">
      <c r="A73" s="705" t="s">
        <v>1142</v>
      </c>
      <c r="B73" s="655" t="s">
        <v>1231</v>
      </c>
      <c r="C73" s="649"/>
      <c r="D73" s="650" t="s">
        <v>1276</v>
      </c>
      <c r="E73" s="649" t="s">
        <v>57</v>
      </c>
      <c r="F73" s="651">
        <v>6</v>
      </c>
      <c r="G73" s="656">
        <v>147.80000000000001</v>
      </c>
      <c r="H73" s="651"/>
      <c r="I73" s="652">
        <f>ROUND(F73*G73,2)</f>
        <v>886.8</v>
      </c>
      <c r="J73" s="652"/>
      <c r="K73" s="652">
        <f t="shared" ref="K73:K79" si="14">I73+J73</f>
        <v>886.8</v>
      </c>
      <c r="L73" s="652"/>
      <c r="M73" s="652"/>
      <c r="N73" s="652"/>
      <c r="O73" s="652"/>
      <c r="P73" s="706"/>
    </row>
    <row r="74" spans="1:16" s="648" customFormat="1" ht="12" x14ac:dyDescent="0.25">
      <c r="A74" s="705" t="s">
        <v>1142</v>
      </c>
      <c r="B74" s="649" t="s">
        <v>1235</v>
      </c>
      <c r="C74" s="649"/>
      <c r="D74" s="650" t="s">
        <v>1236</v>
      </c>
      <c r="E74" s="649" t="s">
        <v>57</v>
      </c>
      <c r="F74" s="651">
        <v>1</v>
      </c>
      <c r="G74" s="652">
        <v>1.45</v>
      </c>
      <c r="H74" s="651"/>
      <c r="I74" s="652">
        <f t="shared" ref="I74:I77" si="15">ROUND(F74*G74,2)</f>
        <v>1.45</v>
      </c>
      <c r="J74" s="652"/>
      <c r="K74" s="652">
        <f t="shared" si="14"/>
        <v>1.45</v>
      </c>
      <c r="L74" s="652"/>
      <c r="M74" s="652"/>
      <c r="N74" s="652"/>
      <c r="O74" s="652"/>
      <c r="P74" s="706"/>
    </row>
    <row r="75" spans="1:16" s="648" customFormat="1" ht="12" x14ac:dyDescent="0.25">
      <c r="A75" s="705" t="s">
        <v>1142</v>
      </c>
      <c r="B75" s="649" t="s">
        <v>1237</v>
      </c>
      <c r="C75" s="649"/>
      <c r="D75" s="650" t="s">
        <v>1238</v>
      </c>
      <c r="E75" s="649" t="s">
        <v>57</v>
      </c>
      <c r="F75" s="651">
        <v>1</v>
      </c>
      <c r="G75" s="652">
        <v>4.17</v>
      </c>
      <c r="H75" s="651"/>
      <c r="I75" s="652">
        <f t="shared" si="15"/>
        <v>4.17</v>
      </c>
      <c r="J75" s="652"/>
      <c r="K75" s="652">
        <f t="shared" si="14"/>
        <v>4.17</v>
      </c>
      <c r="L75" s="652"/>
      <c r="M75" s="652"/>
      <c r="N75" s="652"/>
      <c r="O75" s="652"/>
      <c r="P75" s="706"/>
    </row>
    <row r="76" spans="1:16" s="648" customFormat="1" ht="12" x14ac:dyDescent="0.25">
      <c r="A76" s="705" t="s">
        <v>1142</v>
      </c>
      <c r="B76" s="649" t="s">
        <v>1237</v>
      </c>
      <c r="C76" s="649"/>
      <c r="D76" s="650" t="s">
        <v>1239</v>
      </c>
      <c r="E76" s="649" t="s">
        <v>57</v>
      </c>
      <c r="F76" s="651">
        <v>1</v>
      </c>
      <c r="G76" s="652">
        <v>4.22</v>
      </c>
      <c r="H76" s="651"/>
      <c r="I76" s="652">
        <f t="shared" si="15"/>
        <v>4.22</v>
      </c>
      <c r="J76" s="652"/>
      <c r="K76" s="652">
        <f t="shared" si="14"/>
        <v>4.22</v>
      </c>
      <c r="L76" s="652"/>
      <c r="M76" s="652"/>
      <c r="N76" s="652"/>
      <c r="O76" s="652"/>
      <c r="P76" s="706"/>
    </row>
    <row r="77" spans="1:16" s="648" customFormat="1" ht="12" x14ac:dyDescent="0.25">
      <c r="A77" s="705" t="s">
        <v>1142</v>
      </c>
      <c r="B77" s="649" t="s">
        <v>1240</v>
      </c>
      <c r="C77" s="649"/>
      <c r="D77" s="650" t="s">
        <v>1241</v>
      </c>
      <c r="E77" s="649" t="s">
        <v>56</v>
      </c>
      <c r="F77" s="651">
        <v>2</v>
      </c>
      <c r="G77" s="652">
        <v>1.6</v>
      </c>
      <c r="H77" s="651"/>
      <c r="I77" s="652">
        <f t="shared" si="15"/>
        <v>3.2</v>
      </c>
      <c r="J77" s="652"/>
      <c r="K77" s="652">
        <f t="shared" si="14"/>
        <v>3.2</v>
      </c>
      <c r="L77" s="652"/>
      <c r="M77" s="652"/>
      <c r="N77" s="652"/>
      <c r="O77" s="652"/>
      <c r="P77" s="706"/>
    </row>
    <row r="78" spans="1:16" s="648" customFormat="1" ht="12" x14ac:dyDescent="0.25">
      <c r="A78" s="705" t="s">
        <v>78</v>
      </c>
      <c r="B78" s="649">
        <v>2436</v>
      </c>
      <c r="C78" s="649"/>
      <c r="D78" s="650" t="s">
        <v>239</v>
      </c>
      <c r="E78" s="649" t="s">
        <v>42</v>
      </c>
      <c r="F78" s="651">
        <v>1.5</v>
      </c>
      <c r="G78" s="652">
        <v>13.2</v>
      </c>
      <c r="H78" s="651"/>
      <c r="I78" s="652"/>
      <c r="J78" s="652">
        <f>ROUND(F78*G78,2)</f>
        <v>19.8</v>
      </c>
      <c r="K78" s="652">
        <f t="shared" si="14"/>
        <v>19.8</v>
      </c>
      <c r="L78" s="652"/>
      <c r="M78" s="652"/>
      <c r="N78" s="652"/>
      <c r="O78" s="652"/>
      <c r="P78" s="706"/>
    </row>
    <row r="79" spans="1:16" s="648" customFormat="1" ht="12" x14ac:dyDescent="0.25">
      <c r="A79" s="705" t="s">
        <v>78</v>
      </c>
      <c r="B79" s="649">
        <v>247</v>
      </c>
      <c r="C79" s="649"/>
      <c r="D79" s="650" t="s">
        <v>1175</v>
      </c>
      <c r="E79" s="649" t="s">
        <v>42</v>
      </c>
      <c r="F79" s="651">
        <v>1.5</v>
      </c>
      <c r="G79" s="652">
        <v>9.52</v>
      </c>
      <c r="H79" s="651"/>
      <c r="I79" s="652"/>
      <c r="J79" s="652">
        <f>ROUND(F79*G79,2)</f>
        <v>14.28</v>
      </c>
      <c r="K79" s="652">
        <f t="shared" si="14"/>
        <v>14.28</v>
      </c>
      <c r="L79" s="652"/>
      <c r="M79" s="652"/>
      <c r="N79" s="652"/>
      <c r="O79" s="652"/>
      <c r="P79" s="706"/>
    </row>
    <row r="80" spans="1:16" x14ac:dyDescent="0.25">
      <c r="A80" s="697"/>
      <c r="B80" s="698"/>
      <c r="C80" s="698"/>
      <c r="D80" s="698"/>
      <c r="E80" s="698"/>
      <c r="F80" s="698"/>
      <c r="G80" s="698"/>
      <c r="H80" s="698"/>
      <c r="I80" s="698"/>
      <c r="J80" s="698"/>
      <c r="K80" s="698"/>
      <c r="L80" s="698"/>
      <c r="M80" s="698"/>
      <c r="N80" s="698"/>
      <c r="O80" s="698"/>
      <c r="P80" s="699"/>
    </row>
    <row r="81" spans="1:16" s="648" customFormat="1" ht="12" x14ac:dyDescent="0.25">
      <c r="A81" s="703"/>
      <c r="B81" s="644"/>
      <c r="C81" s="644" t="s">
        <v>1339</v>
      </c>
      <c r="D81" s="654" t="s">
        <v>1224</v>
      </c>
      <c r="E81" s="644" t="s">
        <v>57</v>
      </c>
      <c r="F81" s="646"/>
      <c r="G81" s="647"/>
      <c r="H81" s="647">
        <v>11</v>
      </c>
      <c r="I81" s="647">
        <f>SUM(I82:I84)</f>
        <v>9.7799999999999994</v>
      </c>
      <c r="J81" s="647">
        <f>SUM(J82:J84)</f>
        <v>6.59</v>
      </c>
      <c r="K81" s="647">
        <f>I81+J81</f>
        <v>16.369999999999997</v>
      </c>
      <c r="L81" s="647">
        <f>ROUND($H81*I81,2)</f>
        <v>107.58</v>
      </c>
      <c r="M81" s="647">
        <f>ROUND($H81*J81,2)</f>
        <v>72.489999999999995</v>
      </c>
      <c r="N81" s="647">
        <f>L81+M81</f>
        <v>180.07</v>
      </c>
      <c r="O81" s="647">
        <f>ROUND(N81*$P$5,2)</f>
        <v>48.76</v>
      </c>
      <c r="P81" s="704">
        <f>N81+O81</f>
        <v>228.82999999999998</v>
      </c>
    </row>
    <row r="82" spans="1:16" s="648" customFormat="1" ht="24" x14ac:dyDescent="0.25">
      <c r="A82" s="705" t="s">
        <v>1142</v>
      </c>
      <c r="B82" s="649" t="s">
        <v>1220</v>
      </c>
      <c r="C82" s="649"/>
      <c r="D82" s="650" t="s">
        <v>1225</v>
      </c>
      <c r="E82" s="649" t="s">
        <v>57</v>
      </c>
      <c r="F82" s="651">
        <v>1</v>
      </c>
      <c r="G82" s="652">
        <f>6.74+3.04</f>
        <v>9.7800000000000011</v>
      </c>
      <c r="H82" s="657"/>
      <c r="I82" s="652">
        <f>ROUND(F82*G82,2)</f>
        <v>9.7799999999999994</v>
      </c>
      <c r="J82" s="652"/>
      <c r="K82" s="652">
        <f t="shared" ref="K82:K84" si="16">I82+J82</f>
        <v>9.7799999999999994</v>
      </c>
      <c r="L82" s="652"/>
      <c r="M82" s="652"/>
      <c r="N82" s="652"/>
      <c r="O82" s="652"/>
      <c r="P82" s="706"/>
    </row>
    <row r="83" spans="1:16" s="648" customFormat="1" ht="12" x14ac:dyDescent="0.25">
      <c r="A83" s="705" t="s">
        <v>78</v>
      </c>
      <c r="B83" s="649">
        <v>2436</v>
      </c>
      <c r="C83" s="649"/>
      <c r="D83" s="650" t="s">
        <v>239</v>
      </c>
      <c r="E83" s="649" t="s">
        <v>42</v>
      </c>
      <c r="F83" s="651">
        <v>0.28999999999999998</v>
      </c>
      <c r="G83" s="652">
        <v>13.2</v>
      </c>
      <c r="H83" s="657"/>
      <c r="I83" s="652"/>
      <c r="J83" s="652">
        <f>ROUND(F83*G83,2)</f>
        <v>3.83</v>
      </c>
      <c r="K83" s="652">
        <f t="shared" si="16"/>
        <v>3.83</v>
      </c>
      <c r="L83" s="652"/>
      <c r="M83" s="652"/>
      <c r="N83" s="652"/>
      <c r="O83" s="652"/>
      <c r="P83" s="706"/>
    </row>
    <row r="84" spans="1:16" s="648" customFormat="1" ht="12" x14ac:dyDescent="0.25">
      <c r="A84" s="705" t="s">
        <v>78</v>
      </c>
      <c r="B84" s="649">
        <v>247</v>
      </c>
      <c r="C84" s="649"/>
      <c r="D84" s="650" t="s">
        <v>1175</v>
      </c>
      <c r="E84" s="649" t="s">
        <v>42</v>
      </c>
      <c r="F84" s="651">
        <v>0.28999999999999998</v>
      </c>
      <c r="G84" s="652">
        <v>9.52</v>
      </c>
      <c r="H84" s="657"/>
      <c r="I84" s="652"/>
      <c r="J84" s="652">
        <f>ROUND(F84*G84,2)</f>
        <v>2.76</v>
      </c>
      <c r="K84" s="652">
        <f t="shared" si="16"/>
        <v>2.76</v>
      </c>
      <c r="L84" s="652"/>
      <c r="M84" s="652"/>
      <c r="N84" s="652"/>
      <c r="O84" s="652"/>
      <c r="P84" s="706"/>
    </row>
    <row r="85" spans="1:16" x14ac:dyDescent="0.25">
      <c r="A85" s="697"/>
      <c r="B85" s="698"/>
      <c r="C85" s="698"/>
      <c r="D85" s="698"/>
      <c r="E85" s="698"/>
      <c r="F85" s="698"/>
      <c r="G85" s="698"/>
      <c r="H85" s="698"/>
      <c r="I85" s="698"/>
      <c r="J85" s="698"/>
      <c r="K85" s="698"/>
      <c r="L85" s="698"/>
      <c r="M85" s="698"/>
      <c r="N85" s="698"/>
      <c r="O85" s="698"/>
      <c r="P85" s="699"/>
    </row>
    <row r="86" spans="1:16" s="648" customFormat="1" ht="12" x14ac:dyDescent="0.25">
      <c r="A86" s="703"/>
      <c r="B86" s="644"/>
      <c r="C86" s="644" t="s">
        <v>1340</v>
      </c>
      <c r="D86" s="654" t="s">
        <v>1226</v>
      </c>
      <c r="E86" s="644" t="s">
        <v>57</v>
      </c>
      <c r="F86" s="646"/>
      <c r="G86" s="647"/>
      <c r="H86" s="646">
        <v>11</v>
      </c>
      <c r="I86" s="647">
        <f>SUM(I87:I89)</f>
        <v>16.52</v>
      </c>
      <c r="J86" s="647">
        <f>SUM(J87:J89)</f>
        <v>8.4</v>
      </c>
      <c r="K86" s="647">
        <f>I86+J86</f>
        <v>24.92</v>
      </c>
      <c r="L86" s="647">
        <f>ROUND($H86*I86,2)</f>
        <v>181.72</v>
      </c>
      <c r="M86" s="647">
        <f>ROUND($H86*J86,2)</f>
        <v>92.4</v>
      </c>
      <c r="N86" s="647">
        <f>L86+M86</f>
        <v>274.12</v>
      </c>
      <c r="O86" s="647">
        <f>ROUND(N86*$P$5,2)</f>
        <v>74.23</v>
      </c>
      <c r="P86" s="704">
        <f>N86+O86</f>
        <v>348.35</v>
      </c>
    </row>
    <row r="87" spans="1:16" s="648" customFormat="1" ht="12" x14ac:dyDescent="0.25">
      <c r="A87" s="705" t="s">
        <v>1142</v>
      </c>
      <c r="B87" s="649" t="s">
        <v>1220</v>
      </c>
      <c r="C87" s="649"/>
      <c r="D87" s="650" t="s">
        <v>1227</v>
      </c>
      <c r="E87" s="649" t="s">
        <v>57</v>
      </c>
      <c r="F87" s="651">
        <v>1</v>
      </c>
      <c r="G87" s="652">
        <f>2*6.74+3.04</f>
        <v>16.52</v>
      </c>
      <c r="H87" s="651"/>
      <c r="I87" s="652">
        <f>ROUND(F87*G87,2)</f>
        <v>16.52</v>
      </c>
      <c r="J87" s="652"/>
      <c r="K87" s="652">
        <f t="shared" ref="K87:K89" si="17">I87+J87</f>
        <v>16.52</v>
      </c>
      <c r="L87" s="652"/>
      <c r="M87" s="652"/>
      <c r="N87" s="652"/>
      <c r="O87" s="652"/>
      <c r="P87" s="706"/>
    </row>
    <row r="88" spans="1:16" s="648" customFormat="1" ht="12" x14ac:dyDescent="0.25">
      <c r="A88" s="705" t="s">
        <v>78</v>
      </c>
      <c r="B88" s="649">
        <v>2436</v>
      </c>
      <c r="C88" s="649"/>
      <c r="D88" s="650" t="s">
        <v>239</v>
      </c>
      <c r="E88" s="649" t="s">
        <v>42</v>
      </c>
      <c r="F88" s="651">
        <v>0.37</v>
      </c>
      <c r="G88" s="652">
        <v>13.2</v>
      </c>
      <c r="H88" s="651"/>
      <c r="I88" s="652"/>
      <c r="J88" s="652">
        <f>ROUND(F88*G88,2)</f>
        <v>4.88</v>
      </c>
      <c r="K88" s="652">
        <f t="shared" si="17"/>
        <v>4.88</v>
      </c>
      <c r="L88" s="652"/>
      <c r="M88" s="652"/>
      <c r="N88" s="652"/>
      <c r="O88" s="652"/>
      <c r="P88" s="706"/>
    </row>
    <row r="89" spans="1:16" s="648" customFormat="1" ht="12" x14ac:dyDescent="0.25">
      <c r="A89" s="705" t="s">
        <v>78</v>
      </c>
      <c r="B89" s="649">
        <v>247</v>
      </c>
      <c r="C89" s="649"/>
      <c r="D89" s="650" t="s">
        <v>1175</v>
      </c>
      <c r="E89" s="649" t="s">
        <v>42</v>
      </c>
      <c r="F89" s="651">
        <v>0.37</v>
      </c>
      <c r="G89" s="652">
        <v>9.52</v>
      </c>
      <c r="H89" s="651"/>
      <c r="I89" s="652"/>
      <c r="J89" s="652">
        <f>ROUND(F89*G89,2)</f>
        <v>3.52</v>
      </c>
      <c r="K89" s="652">
        <f t="shared" si="17"/>
        <v>3.52</v>
      </c>
      <c r="L89" s="652"/>
      <c r="M89" s="652"/>
      <c r="N89" s="652"/>
      <c r="O89" s="652"/>
      <c r="P89" s="706"/>
    </row>
    <row r="90" spans="1:16" s="648" customFormat="1" ht="12" x14ac:dyDescent="0.25">
      <c r="A90" s="707"/>
      <c r="B90" s="667"/>
      <c r="C90" s="667"/>
      <c r="D90" s="668"/>
      <c r="E90" s="667"/>
      <c r="F90" s="669"/>
      <c r="G90" s="670"/>
      <c r="H90" s="669"/>
      <c r="I90" s="670"/>
      <c r="J90" s="670"/>
      <c r="K90" s="670"/>
      <c r="L90" s="670"/>
      <c r="M90" s="670"/>
      <c r="N90" s="670"/>
      <c r="O90" s="670"/>
      <c r="P90" s="709"/>
    </row>
    <row r="91" spans="1:16" s="648" customFormat="1" ht="12" x14ac:dyDescent="0.25">
      <c r="A91" s="703"/>
      <c r="B91" s="644"/>
      <c r="C91" s="644" t="s">
        <v>1341</v>
      </c>
      <c r="D91" s="654" t="s">
        <v>1219</v>
      </c>
      <c r="E91" s="644" t="s">
        <v>57</v>
      </c>
      <c r="F91" s="646"/>
      <c r="G91" s="647"/>
      <c r="H91" s="646">
        <v>2</v>
      </c>
      <c r="I91" s="647">
        <f>SUM(I92:I94)</f>
        <v>6.55</v>
      </c>
      <c r="J91" s="647">
        <f>SUM(J92:J94)</f>
        <v>4.7699999999999996</v>
      </c>
      <c r="K91" s="647">
        <f>I91+J91</f>
        <v>11.32</v>
      </c>
      <c r="L91" s="647">
        <f>ROUND($H91*I91,2)</f>
        <v>13.1</v>
      </c>
      <c r="M91" s="647">
        <f>ROUND($H91*J91,2)</f>
        <v>9.5399999999999991</v>
      </c>
      <c r="N91" s="647">
        <f>L91+M91</f>
        <v>22.64</v>
      </c>
      <c r="O91" s="647">
        <f>ROUND(N91*$P$5,2)</f>
        <v>6.13</v>
      </c>
      <c r="P91" s="704">
        <f>N91+O91</f>
        <v>28.77</v>
      </c>
    </row>
    <row r="92" spans="1:16" s="648" customFormat="1" ht="24" x14ac:dyDescent="0.25">
      <c r="A92" s="705" t="s">
        <v>1142</v>
      </c>
      <c r="B92" s="649" t="s">
        <v>1220</v>
      </c>
      <c r="C92" s="649"/>
      <c r="D92" s="650" t="s">
        <v>1221</v>
      </c>
      <c r="E92" s="649" t="s">
        <v>57</v>
      </c>
      <c r="F92" s="651">
        <v>1</v>
      </c>
      <c r="G92" s="652">
        <v>6.55</v>
      </c>
      <c r="H92" s="651"/>
      <c r="I92" s="652">
        <f>ROUND(F92*G92,2)</f>
        <v>6.55</v>
      </c>
      <c r="J92" s="652"/>
      <c r="K92" s="652">
        <f t="shared" ref="K92:K94" si="18">I92+J92</f>
        <v>6.55</v>
      </c>
      <c r="L92" s="652"/>
      <c r="M92" s="652"/>
      <c r="N92" s="652"/>
      <c r="O92" s="652"/>
      <c r="P92" s="706"/>
    </row>
    <row r="93" spans="1:16" s="648" customFormat="1" ht="12" x14ac:dyDescent="0.25">
      <c r="A93" s="705" t="s">
        <v>78</v>
      </c>
      <c r="B93" s="649">
        <v>2436</v>
      </c>
      <c r="C93" s="649"/>
      <c r="D93" s="650" t="s">
        <v>239</v>
      </c>
      <c r="E93" s="649" t="s">
        <v>42</v>
      </c>
      <c r="F93" s="651">
        <v>0.21</v>
      </c>
      <c r="G93" s="652">
        <v>13.2</v>
      </c>
      <c r="H93" s="651"/>
      <c r="I93" s="652"/>
      <c r="J93" s="652">
        <f>ROUND(F93*G93,2)</f>
        <v>2.77</v>
      </c>
      <c r="K93" s="652">
        <f t="shared" si="18"/>
        <v>2.77</v>
      </c>
      <c r="L93" s="652"/>
      <c r="M93" s="652"/>
      <c r="N93" s="652"/>
      <c r="O93" s="652"/>
      <c r="P93" s="706"/>
    </row>
    <row r="94" spans="1:16" s="648" customFormat="1" ht="12" x14ac:dyDescent="0.25">
      <c r="A94" s="705" t="s">
        <v>78</v>
      </c>
      <c r="B94" s="649">
        <v>247</v>
      </c>
      <c r="C94" s="649"/>
      <c r="D94" s="650" t="s">
        <v>1175</v>
      </c>
      <c r="E94" s="649" t="s">
        <v>42</v>
      </c>
      <c r="F94" s="651">
        <v>0.21</v>
      </c>
      <c r="G94" s="652">
        <v>9.52</v>
      </c>
      <c r="H94" s="651"/>
      <c r="I94" s="652"/>
      <c r="J94" s="652">
        <f>ROUND(F94*G94,2)</f>
        <v>2</v>
      </c>
      <c r="K94" s="652">
        <f t="shared" si="18"/>
        <v>2</v>
      </c>
      <c r="L94" s="652"/>
      <c r="M94" s="652"/>
      <c r="N94" s="652"/>
      <c r="O94" s="652"/>
      <c r="P94" s="706"/>
    </row>
    <row r="95" spans="1:16" s="648" customFormat="1" ht="12" x14ac:dyDescent="0.25">
      <c r="A95" s="707"/>
      <c r="B95" s="667"/>
      <c r="C95" s="667"/>
      <c r="D95" s="668"/>
      <c r="E95" s="667"/>
      <c r="F95" s="669"/>
      <c r="G95" s="670"/>
      <c r="H95" s="669"/>
      <c r="I95" s="670"/>
      <c r="J95" s="670"/>
      <c r="K95" s="670"/>
      <c r="L95" s="670"/>
      <c r="M95" s="670"/>
      <c r="N95" s="670"/>
      <c r="O95" s="670"/>
      <c r="P95" s="709"/>
    </row>
    <row r="96" spans="1:16" s="648" customFormat="1" ht="12" x14ac:dyDescent="0.25">
      <c r="A96" s="703"/>
      <c r="B96" s="644"/>
      <c r="C96" s="644" t="s">
        <v>1343</v>
      </c>
      <c r="D96" s="654" t="s">
        <v>1277</v>
      </c>
      <c r="E96" s="644" t="s">
        <v>57</v>
      </c>
      <c r="F96" s="646"/>
      <c r="G96" s="647"/>
      <c r="H96" s="646">
        <v>2</v>
      </c>
      <c r="I96" s="647">
        <f>SUM(I97:I99)</f>
        <v>6.55</v>
      </c>
      <c r="J96" s="647">
        <f>SUM(J97:J99)</f>
        <v>4.7699999999999996</v>
      </c>
      <c r="K96" s="647">
        <f>I96+J96</f>
        <v>11.32</v>
      </c>
      <c r="L96" s="647">
        <f>ROUND(H96*I96,2)</f>
        <v>13.1</v>
      </c>
      <c r="M96" s="647">
        <f>ROUND(H96*J96,2)</f>
        <v>9.5399999999999991</v>
      </c>
      <c r="N96" s="647">
        <f>L96+M96</f>
        <v>22.64</v>
      </c>
      <c r="O96" s="647">
        <f>ROUND(N96*$P$5,2)</f>
        <v>6.13</v>
      </c>
      <c r="P96" s="704">
        <f>N96+O96</f>
        <v>28.77</v>
      </c>
    </row>
    <row r="97" spans="1:16" s="648" customFormat="1" ht="24" x14ac:dyDescent="0.25">
      <c r="A97" s="705" t="s">
        <v>1142</v>
      </c>
      <c r="B97" s="649" t="s">
        <v>1220</v>
      </c>
      <c r="C97" s="649"/>
      <c r="D97" s="650" t="s">
        <v>1221</v>
      </c>
      <c r="E97" s="649" t="s">
        <v>57</v>
      </c>
      <c r="F97" s="651">
        <v>1</v>
      </c>
      <c r="G97" s="652">
        <v>6.55</v>
      </c>
      <c r="H97" s="651"/>
      <c r="I97" s="652">
        <f>ROUND(F97*G97,2)</f>
        <v>6.55</v>
      </c>
      <c r="J97" s="652"/>
      <c r="K97" s="652">
        <f t="shared" ref="K97:K99" si="19">I97+J97</f>
        <v>6.55</v>
      </c>
      <c r="L97" s="652"/>
      <c r="M97" s="652"/>
      <c r="N97" s="652"/>
      <c r="O97" s="652"/>
      <c r="P97" s="706"/>
    </row>
    <row r="98" spans="1:16" s="648" customFormat="1" ht="12" x14ac:dyDescent="0.25">
      <c r="A98" s="705" t="s">
        <v>78</v>
      </c>
      <c r="B98" s="649">
        <v>2436</v>
      </c>
      <c r="C98" s="649"/>
      <c r="D98" s="650" t="s">
        <v>239</v>
      </c>
      <c r="E98" s="649" t="s">
        <v>42</v>
      </c>
      <c r="F98" s="651">
        <v>0.21</v>
      </c>
      <c r="G98" s="652">
        <v>13.2</v>
      </c>
      <c r="H98" s="651"/>
      <c r="I98" s="652"/>
      <c r="J98" s="652">
        <f>ROUND(F98*G98,2)</f>
        <v>2.77</v>
      </c>
      <c r="K98" s="652">
        <f t="shared" si="19"/>
        <v>2.77</v>
      </c>
      <c r="L98" s="652"/>
      <c r="M98" s="652"/>
      <c r="N98" s="652"/>
      <c r="O98" s="652"/>
      <c r="P98" s="706"/>
    </row>
    <row r="99" spans="1:16" s="648" customFormat="1" ht="12" x14ac:dyDescent="0.25">
      <c r="A99" s="705" t="s">
        <v>78</v>
      </c>
      <c r="B99" s="649">
        <v>247</v>
      </c>
      <c r="C99" s="649"/>
      <c r="D99" s="650" t="s">
        <v>1175</v>
      </c>
      <c r="E99" s="649" t="s">
        <v>42</v>
      </c>
      <c r="F99" s="651">
        <v>0.21</v>
      </c>
      <c r="G99" s="652">
        <v>9.52</v>
      </c>
      <c r="H99" s="651"/>
      <c r="I99" s="652"/>
      <c r="J99" s="652">
        <f>ROUND(F99*G99,2)</f>
        <v>2</v>
      </c>
      <c r="K99" s="652">
        <f t="shared" si="19"/>
        <v>2</v>
      </c>
      <c r="L99" s="652"/>
      <c r="M99" s="652"/>
      <c r="N99" s="652"/>
      <c r="O99" s="652"/>
      <c r="P99" s="706"/>
    </row>
    <row r="100" spans="1:16" x14ac:dyDescent="0.25">
      <c r="A100" s="697"/>
      <c r="B100" s="698"/>
      <c r="C100" s="698"/>
      <c r="D100" s="698"/>
      <c r="E100" s="698"/>
      <c r="F100" s="698"/>
      <c r="G100" s="698"/>
      <c r="H100" s="698"/>
      <c r="I100" s="698"/>
      <c r="J100" s="698"/>
      <c r="K100" s="698"/>
      <c r="L100" s="698"/>
      <c r="M100" s="698"/>
      <c r="N100" s="698"/>
      <c r="O100" s="698"/>
      <c r="P100" s="699"/>
    </row>
    <row r="101" spans="1:16" s="648" customFormat="1" ht="12" x14ac:dyDescent="0.25">
      <c r="A101" s="703"/>
      <c r="B101" s="644"/>
      <c r="C101" s="644" t="s">
        <v>1342</v>
      </c>
      <c r="D101" s="654" t="s">
        <v>1278</v>
      </c>
      <c r="E101" s="644" t="s">
        <v>57</v>
      </c>
      <c r="F101" s="646"/>
      <c r="G101" s="647"/>
      <c r="H101" s="646">
        <v>2</v>
      </c>
      <c r="I101" s="647">
        <f>SUM(I102:I104)</f>
        <v>8.86</v>
      </c>
      <c r="J101" s="647">
        <f>SUM(J102:J104)</f>
        <v>6.59</v>
      </c>
      <c r="K101" s="647">
        <f>I101+J101</f>
        <v>15.45</v>
      </c>
      <c r="L101" s="647">
        <f>ROUND($H101*I101,2)</f>
        <v>17.72</v>
      </c>
      <c r="M101" s="647">
        <f>ROUND($H101*J101,2)</f>
        <v>13.18</v>
      </c>
      <c r="N101" s="647">
        <f>L101+M101</f>
        <v>30.9</v>
      </c>
      <c r="O101" s="647">
        <f>ROUND(N101*$P$5,2)</f>
        <v>8.3699999999999992</v>
      </c>
      <c r="P101" s="704">
        <f>N101+O101</f>
        <v>39.269999999999996</v>
      </c>
    </row>
    <row r="102" spans="1:16" s="648" customFormat="1" ht="24" x14ac:dyDescent="0.25">
      <c r="A102" s="705" t="s">
        <v>1142</v>
      </c>
      <c r="B102" s="649" t="s">
        <v>1220</v>
      </c>
      <c r="C102" s="649"/>
      <c r="D102" s="650" t="s">
        <v>1279</v>
      </c>
      <c r="E102" s="649" t="s">
        <v>57</v>
      </c>
      <c r="F102" s="651">
        <v>1</v>
      </c>
      <c r="G102" s="652">
        <f>3.04+5.82</f>
        <v>8.86</v>
      </c>
      <c r="H102" s="651"/>
      <c r="I102" s="652">
        <f>ROUND(F102*G102,2)</f>
        <v>8.86</v>
      </c>
      <c r="J102" s="652"/>
      <c r="K102" s="652">
        <f t="shared" ref="K102:K104" si="20">I102+J102</f>
        <v>8.86</v>
      </c>
      <c r="L102" s="652"/>
      <c r="M102" s="652"/>
      <c r="N102" s="652"/>
      <c r="O102" s="652"/>
      <c r="P102" s="706"/>
    </row>
    <row r="103" spans="1:16" s="648" customFormat="1" ht="12" x14ac:dyDescent="0.25">
      <c r="A103" s="705" t="s">
        <v>78</v>
      </c>
      <c r="B103" s="649">
        <v>2436</v>
      </c>
      <c r="C103" s="649"/>
      <c r="D103" s="650" t="s">
        <v>239</v>
      </c>
      <c r="E103" s="649" t="s">
        <v>42</v>
      </c>
      <c r="F103" s="651">
        <v>0.28999999999999998</v>
      </c>
      <c r="G103" s="652">
        <v>13.2</v>
      </c>
      <c r="H103" s="651"/>
      <c r="I103" s="652"/>
      <c r="J103" s="652">
        <f>ROUND(F103*G103,2)</f>
        <v>3.83</v>
      </c>
      <c r="K103" s="652">
        <f t="shared" si="20"/>
        <v>3.83</v>
      </c>
      <c r="L103" s="652"/>
      <c r="M103" s="652"/>
      <c r="N103" s="652"/>
      <c r="O103" s="652"/>
      <c r="P103" s="706"/>
    </row>
    <row r="104" spans="1:16" s="648" customFormat="1" ht="12" x14ac:dyDescent="0.25">
      <c r="A104" s="705" t="s">
        <v>78</v>
      </c>
      <c r="B104" s="649">
        <v>247</v>
      </c>
      <c r="C104" s="649"/>
      <c r="D104" s="650" t="s">
        <v>1175</v>
      </c>
      <c r="E104" s="649" t="s">
        <v>42</v>
      </c>
      <c r="F104" s="651">
        <v>0.28999999999999998</v>
      </c>
      <c r="G104" s="652">
        <v>9.52</v>
      </c>
      <c r="H104" s="651"/>
      <c r="I104" s="652"/>
      <c r="J104" s="652">
        <f>ROUND(F104*G104,2)</f>
        <v>2.76</v>
      </c>
      <c r="K104" s="652">
        <f t="shared" si="20"/>
        <v>2.76</v>
      </c>
      <c r="L104" s="652"/>
      <c r="M104" s="652"/>
      <c r="N104" s="652"/>
      <c r="O104" s="652"/>
      <c r="P104" s="706"/>
    </row>
    <row r="105" spans="1:16" x14ac:dyDescent="0.25">
      <c r="A105" s="697"/>
      <c r="B105" s="698"/>
      <c r="C105" s="698"/>
      <c r="D105" s="698"/>
      <c r="E105" s="698"/>
      <c r="F105" s="698"/>
      <c r="G105" s="698"/>
      <c r="H105" s="698"/>
      <c r="I105" s="698"/>
      <c r="J105" s="698"/>
      <c r="K105" s="698"/>
      <c r="L105" s="698"/>
      <c r="M105" s="698"/>
      <c r="N105" s="698"/>
      <c r="O105" s="698"/>
      <c r="P105" s="699"/>
    </row>
    <row r="106" spans="1:16" s="648" customFormat="1" ht="12" x14ac:dyDescent="0.25">
      <c r="A106" s="703"/>
      <c r="B106" s="644"/>
      <c r="C106" s="644" t="s">
        <v>1344</v>
      </c>
      <c r="D106" s="654" t="s">
        <v>1207</v>
      </c>
      <c r="E106" s="644" t="s">
        <v>56</v>
      </c>
      <c r="F106" s="646" t="s">
        <v>1208</v>
      </c>
      <c r="G106" s="647"/>
      <c r="H106" s="647">
        <v>450</v>
      </c>
      <c r="I106" s="647">
        <f>SUM(I107:I110)</f>
        <v>0.94000000000000006</v>
      </c>
      <c r="J106" s="647">
        <f>SUM(J107:J110)</f>
        <v>2.5</v>
      </c>
      <c r="K106" s="647">
        <f>I106+J106</f>
        <v>3.44</v>
      </c>
      <c r="L106" s="647">
        <f>ROUND($H106*I106,2)</f>
        <v>423</v>
      </c>
      <c r="M106" s="647">
        <f>ROUND($H106*J106,2)</f>
        <v>1125</v>
      </c>
      <c r="N106" s="647">
        <f>L106+M106</f>
        <v>1548</v>
      </c>
      <c r="O106" s="647">
        <f>ROUND(N106*$P$5,2)</f>
        <v>419.2</v>
      </c>
      <c r="P106" s="704">
        <f>N106+O106</f>
        <v>1967.2</v>
      </c>
    </row>
    <row r="107" spans="1:16" s="648" customFormat="1" ht="40.5" customHeight="1" x14ac:dyDescent="0.25">
      <c r="A107" s="705" t="s">
        <v>79</v>
      </c>
      <c r="B107" s="649" t="s">
        <v>1209</v>
      </c>
      <c r="C107" s="649"/>
      <c r="D107" s="650" t="s">
        <v>1210</v>
      </c>
      <c r="E107" s="649" t="s">
        <v>56</v>
      </c>
      <c r="F107" s="651">
        <v>1.02</v>
      </c>
      <c r="G107" s="652">
        <v>0.9</v>
      </c>
      <c r="H107" s="657"/>
      <c r="I107" s="652">
        <f>ROUND(F107*G107,2)</f>
        <v>0.92</v>
      </c>
      <c r="J107" s="652"/>
      <c r="K107" s="652">
        <f t="shared" ref="K107:K110" si="21">I107+J107</f>
        <v>0.92</v>
      </c>
      <c r="L107" s="652"/>
      <c r="M107" s="652"/>
      <c r="N107" s="652"/>
      <c r="O107" s="652"/>
      <c r="P107" s="706"/>
    </row>
    <row r="108" spans="1:16" s="648" customFormat="1" ht="12" x14ac:dyDescent="0.25">
      <c r="A108" s="705" t="s">
        <v>78</v>
      </c>
      <c r="B108" s="649">
        <v>21127</v>
      </c>
      <c r="C108" s="649"/>
      <c r="D108" s="650" t="s">
        <v>1211</v>
      </c>
      <c r="E108" s="649" t="s">
        <v>56</v>
      </c>
      <c r="F108" s="651">
        <v>0.01</v>
      </c>
      <c r="G108" s="652">
        <v>1.77</v>
      </c>
      <c r="H108" s="657"/>
      <c r="I108" s="652">
        <f>ROUND(F108*G108,2)</f>
        <v>0.02</v>
      </c>
      <c r="J108" s="652"/>
      <c r="K108" s="652">
        <f t="shared" si="21"/>
        <v>0.02</v>
      </c>
      <c r="L108" s="652"/>
      <c r="M108" s="652"/>
      <c r="N108" s="652"/>
      <c r="O108" s="652"/>
      <c r="P108" s="706"/>
    </row>
    <row r="109" spans="1:16" s="648" customFormat="1" ht="12" x14ac:dyDescent="0.25">
      <c r="A109" s="705" t="s">
        <v>78</v>
      </c>
      <c r="B109" s="649">
        <v>2436</v>
      </c>
      <c r="C109" s="649"/>
      <c r="D109" s="650" t="s">
        <v>239</v>
      </c>
      <c r="E109" s="649" t="s">
        <v>42</v>
      </c>
      <c r="F109" s="651">
        <v>0.11</v>
      </c>
      <c r="G109" s="652">
        <v>13.2</v>
      </c>
      <c r="H109" s="657"/>
      <c r="I109" s="652"/>
      <c r="J109" s="652">
        <f>ROUND(F109*G109,2)</f>
        <v>1.45</v>
      </c>
      <c r="K109" s="652">
        <f t="shared" si="21"/>
        <v>1.45</v>
      </c>
      <c r="L109" s="652"/>
      <c r="M109" s="652"/>
      <c r="N109" s="652"/>
      <c r="O109" s="652"/>
      <c r="P109" s="706"/>
    </row>
    <row r="110" spans="1:16" s="648" customFormat="1" ht="12" x14ac:dyDescent="0.25">
      <c r="A110" s="705" t="s">
        <v>78</v>
      </c>
      <c r="B110" s="649">
        <v>247</v>
      </c>
      <c r="C110" s="649"/>
      <c r="D110" s="650" t="s">
        <v>1175</v>
      </c>
      <c r="E110" s="649" t="s">
        <v>42</v>
      </c>
      <c r="F110" s="651">
        <v>0.11</v>
      </c>
      <c r="G110" s="652">
        <v>9.52</v>
      </c>
      <c r="H110" s="657"/>
      <c r="I110" s="652"/>
      <c r="J110" s="652">
        <f>ROUND(F110*G110,2)</f>
        <v>1.05</v>
      </c>
      <c r="K110" s="652">
        <f t="shared" si="21"/>
        <v>1.05</v>
      </c>
      <c r="L110" s="652"/>
      <c r="M110" s="652"/>
      <c r="N110" s="652"/>
      <c r="O110" s="652"/>
      <c r="P110" s="706"/>
    </row>
    <row r="111" spans="1:16" x14ac:dyDescent="0.25">
      <c r="A111" s="697"/>
      <c r="B111" s="698"/>
      <c r="C111" s="698"/>
      <c r="D111" s="698"/>
      <c r="E111" s="698"/>
      <c r="F111" s="698"/>
      <c r="G111" s="698"/>
      <c r="H111" s="698"/>
      <c r="I111" s="698"/>
      <c r="J111" s="698"/>
      <c r="K111" s="698"/>
      <c r="L111" s="698"/>
      <c r="M111" s="698"/>
      <c r="N111" s="698"/>
      <c r="O111" s="698"/>
      <c r="P111" s="699"/>
    </row>
    <row r="112" spans="1:16" s="648" customFormat="1" ht="30.75" customHeight="1" x14ac:dyDescent="0.25">
      <c r="A112" s="703"/>
      <c r="B112" s="644"/>
      <c r="C112" s="644" t="s">
        <v>1345</v>
      </c>
      <c r="D112" s="654" t="s">
        <v>1216</v>
      </c>
      <c r="E112" s="644" t="s">
        <v>56</v>
      </c>
      <c r="F112" s="646" t="s">
        <v>1208</v>
      </c>
      <c r="G112" s="647"/>
      <c r="H112" s="647">
        <v>60</v>
      </c>
      <c r="I112" s="647">
        <f>SUM(I113:I116)</f>
        <v>1.66</v>
      </c>
      <c r="J112" s="647">
        <f>SUM(J113:J116)</f>
        <v>2.96</v>
      </c>
      <c r="K112" s="647">
        <f>I112+J112</f>
        <v>4.62</v>
      </c>
      <c r="L112" s="647">
        <f>ROUND($H112*I112,2)</f>
        <v>99.6</v>
      </c>
      <c r="M112" s="647">
        <f>ROUND($H112*J112,2)</f>
        <v>177.6</v>
      </c>
      <c r="N112" s="647">
        <f>L112+M112</f>
        <v>277.2</v>
      </c>
      <c r="O112" s="647">
        <f>ROUND(N112*$P$5,2)</f>
        <v>75.069999999999993</v>
      </c>
      <c r="P112" s="704">
        <f>N112+O112</f>
        <v>352.27</v>
      </c>
    </row>
    <row r="113" spans="1:16" s="648" customFormat="1" ht="39.75" customHeight="1" x14ac:dyDescent="0.25">
      <c r="A113" s="705" t="s">
        <v>79</v>
      </c>
      <c r="B113" s="649" t="s">
        <v>1217</v>
      </c>
      <c r="C113" s="649"/>
      <c r="D113" s="650" t="s">
        <v>1218</v>
      </c>
      <c r="E113" s="649" t="s">
        <v>56</v>
      </c>
      <c r="F113" s="651">
        <v>1.02</v>
      </c>
      <c r="G113" s="652">
        <v>1.61</v>
      </c>
      <c r="H113" s="657"/>
      <c r="I113" s="652">
        <f>ROUND(F113*G113,2)</f>
        <v>1.64</v>
      </c>
      <c r="J113" s="652"/>
      <c r="K113" s="652">
        <f t="shared" ref="K113:K116" si="22">I113+J113</f>
        <v>1.64</v>
      </c>
      <c r="L113" s="652"/>
      <c r="M113" s="652"/>
      <c r="N113" s="652"/>
      <c r="O113" s="652"/>
      <c r="P113" s="706"/>
    </row>
    <row r="114" spans="1:16" s="648" customFormat="1" ht="12" x14ac:dyDescent="0.25">
      <c r="A114" s="705" t="s">
        <v>78</v>
      </c>
      <c r="B114" s="649">
        <v>21127</v>
      </c>
      <c r="C114" s="649"/>
      <c r="D114" s="650" t="s">
        <v>1211</v>
      </c>
      <c r="E114" s="649" t="s">
        <v>56</v>
      </c>
      <c r="F114" s="651">
        <v>0.01</v>
      </c>
      <c r="G114" s="652">
        <v>1.77</v>
      </c>
      <c r="H114" s="657"/>
      <c r="I114" s="652">
        <f>ROUND(F114*G114,2)</f>
        <v>0.02</v>
      </c>
      <c r="J114" s="652"/>
      <c r="K114" s="652">
        <f t="shared" si="22"/>
        <v>0.02</v>
      </c>
      <c r="L114" s="652"/>
      <c r="M114" s="652"/>
      <c r="N114" s="652"/>
      <c r="O114" s="652"/>
      <c r="P114" s="706"/>
    </row>
    <row r="115" spans="1:16" s="648" customFormat="1" ht="12" x14ac:dyDescent="0.25">
      <c r="A115" s="705" t="s">
        <v>78</v>
      </c>
      <c r="B115" s="649">
        <v>2436</v>
      </c>
      <c r="C115" s="649"/>
      <c r="D115" s="650" t="s">
        <v>239</v>
      </c>
      <c r="E115" s="649" t="s">
        <v>42</v>
      </c>
      <c r="F115" s="651">
        <v>0.13</v>
      </c>
      <c r="G115" s="652">
        <v>13.2</v>
      </c>
      <c r="H115" s="657"/>
      <c r="I115" s="652"/>
      <c r="J115" s="652">
        <f>ROUND(F115*G115,2)</f>
        <v>1.72</v>
      </c>
      <c r="K115" s="652">
        <f t="shared" si="22"/>
        <v>1.72</v>
      </c>
      <c r="L115" s="652"/>
      <c r="M115" s="652"/>
      <c r="N115" s="652"/>
      <c r="O115" s="652"/>
      <c r="P115" s="706"/>
    </row>
    <row r="116" spans="1:16" s="648" customFormat="1" ht="12" x14ac:dyDescent="0.25">
      <c r="A116" s="705" t="s">
        <v>78</v>
      </c>
      <c r="B116" s="649">
        <v>247</v>
      </c>
      <c r="C116" s="649"/>
      <c r="D116" s="650" t="s">
        <v>1175</v>
      </c>
      <c r="E116" s="649" t="s">
        <v>42</v>
      </c>
      <c r="F116" s="651">
        <v>0.13</v>
      </c>
      <c r="G116" s="652">
        <v>9.52</v>
      </c>
      <c r="H116" s="657"/>
      <c r="I116" s="652"/>
      <c r="J116" s="652">
        <f>ROUND(F116*G116,2)</f>
        <v>1.24</v>
      </c>
      <c r="K116" s="652">
        <f t="shared" si="22"/>
        <v>1.24</v>
      </c>
      <c r="L116" s="652"/>
      <c r="M116" s="652"/>
      <c r="N116" s="652"/>
      <c r="O116" s="652"/>
      <c r="P116" s="706"/>
    </row>
    <row r="117" spans="1:16" x14ac:dyDescent="0.25">
      <c r="A117" s="697"/>
      <c r="B117" s="698"/>
      <c r="C117" s="698"/>
      <c r="D117" s="698"/>
      <c r="E117" s="698"/>
      <c r="F117" s="698"/>
      <c r="G117" s="698"/>
      <c r="H117" s="698"/>
      <c r="I117" s="698"/>
      <c r="J117" s="698"/>
      <c r="K117" s="698"/>
      <c r="L117" s="698"/>
      <c r="M117" s="698"/>
      <c r="N117" s="698"/>
      <c r="O117" s="698"/>
      <c r="P117" s="699"/>
    </row>
    <row r="118" spans="1:16" s="648" customFormat="1" ht="33" customHeight="1" x14ac:dyDescent="0.25">
      <c r="A118" s="703"/>
      <c r="B118" s="644"/>
      <c r="C118" s="644" t="s">
        <v>1346</v>
      </c>
      <c r="D118" s="654" t="s">
        <v>1212</v>
      </c>
      <c r="E118" s="644" t="s">
        <v>56</v>
      </c>
      <c r="F118" s="646" t="s">
        <v>1208</v>
      </c>
      <c r="G118" s="647"/>
      <c r="H118" s="647">
        <v>120</v>
      </c>
      <c r="I118" s="647">
        <f>SUM(I119:I122)</f>
        <v>5.7700000000000005</v>
      </c>
      <c r="J118" s="647">
        <f>SUM(J119:J122)</f>
        <v>3.63</v>
      </c>
      <c r="K118" s="647">
        <f t="shared" ref="K118:K122" si="23">I118+J118</f>
        <v>9.4</v>
      </c>
      <c r="L118" s="647">
        <f>ROUND($H118*I118,2)</f>
        <v>692.4</v>
      </c>
      <c r="M118" s="647">
        <f>ROUND($H118*J118,2)</f>
        <v>435.6</v>
      </c>
      <c r="N118" s="647">
        <f>L118+M118</f>
        <v>1128</v>
      </c>
      <c r="O118" s="647">
        <f>ROUND(N118*$P$5,2)</f>
        <v>305.45999999999998</v>
      </c>
      <c r="P118" s="704">
        <f>N118+O118</f>
        <v>1433.46</v>
      </c>
    </row>
    <row r="119" spans="1:16" s="648" customFormat="1" ht="24" x14ac:dyDescent="0.25">
      <c r="A119" s="705" t="s">
        <v>79</v>
      </c>
      <c r="B119" s="649" t="s">
        <v>1213</v>
      </c>
      <c r="C119" s="649"/>
      <c r="D119" s="650" t="s">
        <v>1214</v>
      </c>
      <c r="E119" s="649" t="s">
        <v>56</v>
      </c>
      <c r="F119" s="651">
        <v>1.02</v>
      </c>
      <c r="G119" s="652">
        <v>5.63</v>
      </c>
      <c r="H119" s="657"/>
      <c r="I119" s="652">
        <f>ROUND(F119*G119,2)</f>
        <v>5.74</v>
      </c>
      <c r="J119" s="652"/>
      <c r="K119" s="652">
        <f t="shared" si="23"/>
        <v>5.74</v>
      </c>
      <c r="L119" s="652"/>
      <c r="M119" s="652"/>
      <c r="N119" s="652"/>
      <c r="O119" s="652"/>
      <c r="P119" s="706"/>
    </row>
    <row r="120" spans="1:16" s="648" customFormat="1" ht="12" x14ac:dyDescent="0.25">
      <c r="A120" s="705" t="s">
        <v>78</v>
      </c>
      <c r="B120" s="649">
        <v>404</v>
      </c>
      <c r="C120" s="649"/>
      <c r="D120" s="650" t="s">
        <v>1215</v>
      </c>
      <c r="E120" s="649" t="s">
        <v>56</v>
      </c>
      <c r="F120" s="651">
        <v>0.01</v>
      </c>
      <c r="G120" s="652">
        <v>2.7</v>
      </c>
      <c r="H120" s="657"/>
      <c r="I120" s="652">
        <f>ROUND(F120*G120,2)</f>
        <v>0.03</v>
      </c>
      <c r="J120" s="652"/>
      <c r="K120" s="652">
        <f t="shared" si="23"/>
        <v>0.03</v>
      </c>
      <c r="L120" s="652"/>
      <c r="M120" s="652"/>
      <c r="N120" s="652"/>
      <c r="O120" s="652"/>
      <c r="P120" s="706"/>
    </row>
    <row r="121" spans="1:16" s="648" customFormat="1" ht="12" x14ac:dyDescent="0.25">
      <c r="A121" s="705" t="s">
        <v>78</v>
      </c>
      <c r="B121" s="649">
        <v>2436</v>
      </c>
      <c r="C121" s="649"/>
      <c r="D121" s="650" t="s">
        <v>239</v>
      </c>
      <c r="E121" s="649" t="s">
        <v>42</v>
      </c>
      <c r="F121" s="651">
        <v>0.16</v>
      </c>
      <c r="G121" s="652">
        <v>13.2</v>
      </c>
      <c r="H121" s="657"/>
      <c r="I121" s="652"/>
      <c r="J121" s="652">
        <f>ROUND(F121*G121,2)</f>
        <v>2.11</v>
      </c>
      <c r="K121" s="652">
        <f t="shared" si="23"/>
        <v>2.11</v>
      </c>
      <c r="L121" s="652"/>
      <c r="M121" s="652"/>
      <c r="N121" s="652"/>
      <c r="O121" s="652"/>
      <c r="P121" s="706"/>
    </row>
    <row r="122" spans="1:16" s="648" customFormat="1" ht="12" x14ac:dyDescent="0.25">
      <c r="A122" s="705" t="s">
        <v>78</v>
      </c>
      <c r="B122" s="649">
        <v>247</v>
      </c>
      <c r="C122" s="649"/>
      <c r="D122" s="650" t="s">
        <v>1175</v>
      </c>
      <c r="E122" s="649" t="s">
        <v>42</v>
      </c>
      <c r="F122" s="651">
        <v>0.16</v>
      </c>
      <c r="G122" s="652">
        <v>9.52</v>
      </c>
      <c r="H122" s="657"/>
      <c r="I122" s="652"/>
      <c r="J122" s="652">
        <f>ROUND(F122*G122,2)</f>
        <v>1.52</v>
      </c>
      <c r="K122" s="652">
        <f t="shared" si="23"/>
        <v>1.52</v>
      </c>
      <c r="L122" s="652"/>
      <c r="M122" s="652"/>
      <c r="N122" s="652"/>
      <c r="O122" s="652"/>
      <c r="P122" s="706"/>
    </row>
    <row r="123" spans="1:16" x14ac:dyDescent="0.25">
      <c r="A123" s="697"/>
      <c r="B123" s="698"/>
      <c r="C123" s="698"/>
      <c r="D123" s="698"/>
      <c r="E123" s="698"/>
      <c r="F123" s="698"/>
      <c r="G123" s="698"/>
      <c r="H123" s="698"/>
      <c r="I123" s="698"/>
      <c r="J123" s="698"/>
      <c r="K123" s="698"/>
      <c r="L123" s="698"/>
      <c r="M123" s="698"/>
      <c r="N123" s="698"/>
      <c r="O123" s="698"/>
      <c r="P123" s="699"/>
    </row>
    <row r="124" spans="1:16" s="648" customFormat="1" ht="12" x14ac:dyDescent="0.25">
      <c r="A124" s="703"/>
      <c r="B124" s="644"/>
      <c r="C124" s="644" t="s">
        <v>1347</v>
      </c>
      <c r="D124" s="654" t="s">
        <v>1280</v>
      </c>
      <c r="E124" s="644" t="s">
        <v>57</v>
      </c>
      <c r="F124" s="646"/>
      <c r="G124" s="647"/>
      <c r="H124" s="647">
        <v>1</v>
      </c>
      <c r="I124" s="647">
        <f>SUM(I125:I133)</f>
        <v>1168.9299999999998</v>
      </c>
      <c r="J124" s="647">
        <f>SUM(J125:J133)</f>
        <v>198.16</v>
      </c>
      <c r="K124" s="647">
        <f>I124+J124</f>
        <v>1367.09</v>
      </c>
      <c r="L124" s="647">
        <f>ROUND($H124*I124,2)</f>
        <v>1168.93</v>
      </c>
      <c r="M124" s="647">
        <f>ROUND($H124*J124,2)</f>
        <v>198.16</v>
      </c>
      <c r="N124" s="647">
        <f>L124+M124</f>
        <v>1367.0900000000001</v>
      </c>
      <c r="O124" s="647">
        <f>ROUND(N124*$P$5,2)</f>
        <v>370.21</v>
      </c>
      <c r="P124" s="704">
        <f>N124+O124</f>
        <v>1737.3000000000002</v>
      </c>
    </row>
    <row r="125" spans="1:16" s="648" customFormat="1" ht="48" x14ac:dyDescent="0.25">
      <c r="A125" s="705" t="s">
        <v>79</v>
      </c>
      <c r="B125" s="649" t="s">
        <v>1245</v>
      </c>
      <c r="C125" s="649"/>
      <c r="D125" s="650" t="s">
        <v>1281</v>
      </c>
      <c r="E125" s="649" t="s">
        <v>57</v>
      </c>
      <c r="F125" s="651">
        <v>1</v>
      </c>
      <c r="G125" s="652">
        <v>488.89</v>
      </c>
      <c r="H125" s="657"/>
      <c r="I125" s="652">
        <f t="shared" ref="I125:I130" si="24">ROUND(F125*G125,2)</f>
        <v>488.89</v>
      </c>
      <c r="J125" s="652"/>
      <c r="K125" s="652">
        <f t="shared" ref="K125:K133" si="25">I125+J125</f>
        <v>488.89</v>
      </c>
      <c r="L125" s="652"/>
      <c r="M125" s="652"/>
      <c r="N125" s="652"/>
      <c r="O125" s="652"/>
      <c r="P125" s="706"/>
    </row>
    <row r="126" spans="1:16" s="648" customFormat="1" ht="12" x14ac:dyDescent="0.25">
      <c r="A126" s="705" t="s">
        <v>78</v>
      </c>
      <c r="B126" s="649">
        <v>34653</v>
      </c>
      <c r="C126" s="649"/>
      <c r="D126" s="650" t="s">
        <v>1251</v>
      </c>
      <c r="E126" s="649" t="s">
        <v>57</v>
      </c>
      <c r="F126" s="651">
        <v>9</v>
      </c>
      <c r="G126" s="652">
        <v>6.26</v>
      </c>
      <c r="H126" s="657"/>
      <c r="I126" s="652">
        <f>ROUND(F126*G126,2)</f>
        <v>56.34</v>
      </c>
      <c r="J126" s="652"/>
      <c r="K126" s="652">
        <f>I126+J126</f>
        <v>56.34</v>
      </c>
      <c r="L126" s="652"/>
      <c r="M126" s="652"/>
      <c r="N126" s="652"/>
      <c r="O126" s="652"/>
      <c r="P126" s="706"/>
    </row>
    <row r="127" spans="1:16" s="648" customFormat="1" ht="12" x14ac:dyDescent="0.25">
      <c r="A127" s="705" t="s">
        <v>78</v>
      </c>
      <c r="B127" s="649">
        <v>34616</v>
      </c>
      <c r="C127" s="649"/>
      <c r="D127" s="650" t="s">
        <v>1282</v>
      </c>
      <c r="E127" s="649" t="s">
        <v>57</v>
      </c>
      <c r="F127" s="651">
        <v>2</v>
      </c>
      <c r="G127" s="652">
        <v>43.65</v>
      </c>
      <c r="H127" s="657"/>
      <c r="I127" s="652">
        <f t="shared" si="24"/>
        <v>87.3</v>
      </c>
      <c r="J127" s="652"/>
      <c r="K127" s="652">
        <f t="shared" si="25"/>
        <v>87.3</v>
      </c>
      <c r="L127" s="652"/>
      <c r="M127" s="652"/>
      <c r="N127" s="652"/>
      <c r="O127" s="652"/>
      <c r="P127" s="706"/>
    </row>
    <row r="128" spans="1:16" s="648" customFormat="1" ht="12" x14ac:dyDescent="0.25">
      <c r="A128" s="705" t="s">
        <v>78</v>
      </c>
      <c r="B128" s="649">
        <v>34714</v>
      </c>
      <c r="C128" s="649"/>
      <c r="D128" s="650" t="s">
        <v>1250</v>
      </c>
      <c r="E128" s="649" t="s">
        <v>57</v>
      </c>
      <c r="F128" s="651">
        <v>2</v>
      </c>
      <c r="G128" s="652">
        <v>52.53</v>
      </c>
      <c r="H128" s="657"/>
      <c r="I128" s="652">
        <f t="shared" si="24"/>
        <v>105.06</v>
      </c>
      <c r="J128" s="652"/>
      <c r="K128" s="652">
        <f t="shared" si="25"/>
        <v>105.06</v>
      </c>
      <c r="L128" s="652"/>
      <c r="M128" s="652"/>
      <c r="N128" s="652"/>
      <c r="O128" s="652"/>
      <c r="P128" s="706"/>
    </row>
    <row r="129" spans="1:16" s="648" customFormat="1" ht="12" x14ac:dyDescent="0.25">
      <c r="A129" s="705" t="s">
        <v>1142</v>
      </c>
      <c r="B129" s="649" t="s">
        <v>1252</v>
      </c>
      <c r="C129" s="649"/>
      <c r="D129" s="650" t="s">
        <v>1283</v>
      </c>
      <c r="E129" s="649" t="s">
        <v>57</v>
      </c>
      <c r="F129" s="651">
        <v>1</v>
      </c>
      <c r="G129" s="652">
        <v>177.9</v>
      </c>
      <c r="H129" s="657"/>
      <c r="I129" s="652">
        <f t="shared" si="24"/>
        <v>177.9</v>
      </c>
      <c r="J129" s="652"/>
      <c r="K129" s="652">
        <f t="shared" si="25"/>
        <v>177.9</v>
      </c>
      <c r="L129" s="652"/>
      <c r="M129" s="652"/>
      <c r="N129" s="652"/>
      <c r="O129" s="652"/>
      <c r="P129" s="706"/>
    </row>
    <row r="130" spans="1:16" s="648" customFormat="1" ht="12" x14ac:dyDescent="0.25">
      <c r="A130" s="705" t="s">
        <v>1142</v>
      </c>
      <c r="B130" s="649" t="s">
        <v>1254</v>
      </c>
      <c r="C130" s="649"/>
      <c r="D130" s="650" t="s">
        <v>1255</v>
      </c>
      <c r="E130" s="649" t="s">
        <v>57</v>
      </c>
      <c r="F130" s="651">
        <v>4</v>
      </c>
      <c r="G130" s="652">
        <v>55.86</v>
      </c>
      <c r="H130" s="657"/>
      <c r="I130" s="652">
        <f t="shared" si="24"/>
        <v>223.44</v>
      </c>
      <c r="J130" s="652"/>
      <c r="K130" s="652">
        <f t="shared" si="25"/>
        <v>223.44</v>
      </c>
      <c r="L130" s="652"/>
      <c r="M130" s="652"/>
      <c r="N130" s="652"/>
      <c r="O130" s="652"/>
      <c r="P130" s="706"/>
    </row>
    <row r="131" spans="1:16" s="648" customFormat="1" ht="12" x14ac:dyDescent="0.25">
      <c r="A131" s="705" t="s">
        <v>1256</v>
      </c>
      <c r="B131" s="649"/>
      <c r="C131" s="649"/>
      <c r="D131" s="650" t="s">
        <v>1257</v>
      </c>
      <c r="E131" s="649" t="s">
        <v>1258</v>
      </c>
      <c r="F131" s="651">
        <v>1</v>
      </c>
      <c r="G131" s="652">
        <v>30</v>
      </c>
      <c r="H131" s="657"/>
      <c r="I131" s="652">
        <f>ROUND(F131*G131,2)</f>
        <v>30</v>
      </c>
      <c r="J131" s="652"/>
      <c r="K131" s="652">
        <f t="shared" si="25"/>
        <v>30</v>
      </c>
      <c r="L131" s="652"/>
      <c r="M131" s="652"/>
      <c r="N131" s="652"/>
      <c r="O131" s="652"/>
      <c r="P131" s="706"/>
    </row>
    <row r="132" spans="1:16" s="648" customFormat="1" ht="12" x14ac:dyDescent="0.25">
      <c r="A132" s="705" t="s">
        <v>78</v>
      </c>
      <c r="B132" s="649">
        <v>2439</v>
      </c>
      <c r="C132" s="649"/>
      <c r="D132" s="650" t="s">
        <v>1259</v>
      </c>
      <c r="E132" s="649" t="s">
        <v>42</v>
      </c>
      <c r="F132" s="651">
        <v>8</v>
      </c>
      <c r="G132" s="652">
        <v>15.25</v>
      </c>
      <c r="H132" s="657"/>
      <c r="I132" s="652"/>
      <c r="J132" s="652">
        <f>ROUND(F132*G132,2)</f>
        <v>122</v>
      </c>
      <c r="K132" s="652">
        <f t="shared" si="25"/>
        <v>122</v>
      </c>
      <c r="L132" s="652"/>
      <c r="M132" s="652"/>
      <c r="N132" s="652"/>
      <c r="O132" s="652"/>
      <c r="P132" s="706"/>
    </row>
    <row r="133" spans="1:16" s="648" customFormat="1" ht="12" x14ac:dyDescent="0.25">
      <c r="A133" s="705" t="s">
        <v>78</v>
      </c>
      <c r="B133" s="649">
        <v>247</v>
      </c>
      <c r="C133" s="649"/>
      <c r="D133" s="650" t="s">
        <v>1175</v>
      </c>
      <c r="E133" s="649" t="s">
        <v>42</v>
      </c>
      <c r="F133" s="651">
        <v>8</v>
      </c>
      <c r="G133" s="652">
        <v>9.52</v>
      </c>
      <c r="H133" s="657"/>
      <c r="I133" s="652"/>
      <c r="J133" s="652">
        <f>ROUND(F133*G133,2)</f>
        <v>76.16</v>
      </c>
      <c r="K133" s="652">
        <f t="shared" si="25"/>
        <v>76.16</v>
      </c>
      <c r="L133" s="652"/>
      <c r="M133" s="652"/>
      <c r="N133" s="652"/>
      <c r="O133" s="652"/>
      <c r="P133" s="706"/>
    </row>
    <row r="134" spans="1:16" x14ac:dyDescent="0.25">
      <c r="A134" s="697"/>
      <c r="B134" s="698"/>
      <c r="C134" s="698"/>
      <c r="D134" s="698"/>
      <c r="E134" s="698"/>
      <c r="F134" s="698"/>
      <c r="G134" s="698"/>
      <c r="H134" s="698"/>
      <c r="I134" s="698"/>
      <c r="J134" s="698"/>
      <c r="K134" s="698"/>
      <c r="L134" s="698"/>
      <c r="M134" s="698"/>
      <c r="N134" s="698"/>
      <c r="O134" s="698"/>
      <c r="P134" s="699"/>
    </row>
    <row r="135" spans="1:16" s="648" customFormat="1" ht="12" x14ac:dyDescent="0.25">
      <c r="A135" s="703"/>
      <c r="B135" s="644"/>
      <c r="C135" s="644" t="s">
        <v>1348</v>
      </c>
      <c r="D135" s="654" t="s">
        <v>1207</v>
      </c>
      <c r="E135" s="644" t="s">
        <v>56</v>
      </c>
      <c r="F135" s="646" t="s">
        <v>1208</v>
      </c>
      <c r="G135" s="647"/>
      <c r="H135" s="647">
        <v>55</v>
      </c>
      <c r="I135" s="647">
        <f>SUM(I136:I139)</f>
        <v>0.94000000000000006</v>
      </c>
      <c r="J135" s="647">
        <f>SUM(J136:J139)</f>
        <v>2.5</v>
      </c>
      <c r="K135" s="647">
        <f>I135+J135</f>
        <v>3.44</v>
      </c>
      <c r="L135" s="647">
        <f>ROUND($H135*I135,2)</f>
        <v>51.7</v>
      </c>
      <c r="M135" s="647">
        <f>ROUND($H135*J135,2)</f>
        <v>137.5</v>
      </c>
      <c r="N135" s="647">
        <f>L135+M135</f>
        <v>189.2</v>
      </c>
      <c r="O135" s="647">
        <f>ROUND(N135*$P$5,2)</f>
        <v>51.24</v>
      </c>
      <c r="P135" s="704">
        <f>N135+O135</f>
        <v>240.44</v>
      </c>
    </row>
    <row r="136" spans="1:16" s="648" customFormat="1" ht="40.5" customHeight="1" x14ac:dyDescent="0.25">
      <c r="A136" s="705" t="s">
        <v>79</v>
      </c>
      <c r="B136" s="649" t="s">
        <v>1209</v>
      </c>
      <c r="C136" s="649"/>
      <c r="D136" s="650" t="s">
        <v>1210</v>
      </c>
      <c r="E136" s="649" t="s">
        <v>56</v>
      </c>
      <c r="F136" s="651">
        <v>1.02</v>
      </c>
      <c r="G136" s="652">
        <v>0.9</v>
      </c>
      <c r="H136" s="657"/>
      <c r="I136" s="652">
        <f>ROUND(F136*G136,2)</f>
        <v>0.92</v>
      </c>
      <c r="J136" s="652"/>
      <c r="K136" s="652">
        <f t="shared" ref="K136:K139" si="26">I136+J136</f>
        <v>0.92</v>
      </c>
      <c r="L136" s="652"/>
      <c r="M136" s="652"/>
      <c r="N136" s="652"/>
      <c r="O136" s="652"/>
      <c r="P136" s="706"/>
    </row>
    <row r="137" spans="1:16" s="648" customFormat="1" ht="12" x14ac:dyDescent="0.25">
      <c r="A137" s="705" t="s">
        <v>78</v>
      </c>
      <c r="B137" s="649">
        <v>21127</v>
      </c>
      <c r="C137" s="649"/>
      <c r="D137" s="650" t="s">
        <v>1211</v>
      </c>
      <c r="E137" s="649" t="s">
        <v>56</v>
      </c>
      <c r="F137" s="651">
        <v>0.01</v>
      </c>
      <c r="G137" s="652">
        <v>1.77</v>
      </c>
      <c r="H137" s="657"/>
      <c r="I137" s="652">
        <f>ROUND(F137*G137,2)</f>
        <v>0.02</v>
      </c>
      <c r="J137" s="652"/>
      <c r="K137" s="652">
        <f t="shared" si="26"/>
        <v>0.02</v>
      </c>
      <c r="L137" s="652"/>
      <c r="M137" s="652"/>
      <c r="N137" s="652"/>
      <c r="O137" s="652"/>
      <c r="P137" s="706"/>
    </row>
    <row r="138" spans="1:16" s="648" customFormat="1" ht="12" x14ac:dyDescent="0.25">
      <c r="A138" s="705" t="s">
        <v>78</v>
      </c>
      <c r="B138" s="649">
        <v>2436</v>
      </c>
      <c r="C138" s="649"/>
      <c r="D138" s="650" t="s">
        <v>239</v>
      </c>
      <c r="E138" s="649" t="s">
        <v>42</v>
      </c>
      <c r="F138" s="651">
        <v>0.11</v>
      </c>
      <c r="G138" s="652">
        <v>13.2</v>
      </c>
      <c r="H138" s="657"/>
      <c r="I138" s="652"/>
      <c r="J138" s="652">
        <f>ROUND(F138*G138,2)</f>
        <v>1.45</v>
      </c>
      <c r="K138" s="652">
        <f t="shared" si="26"/>
        <v>1.45</v>
      </c>
      <c r="L138" s="652"/>
      <c r="M138" s="652"/>
      <c r="N138" s="652"/>
      <c r="O138" s="652"/>
      <c r="P138" s="706"/>
    </row>
    <row r="139" spans="1:16" s="648" customFormat="1" ht="12" x14ac:dyDescent="0.25">
      <c r="A139" s="705" t="s">
        <v>78</v>
      </c>
      <c r="B139" s="649">
        <v>247</v>
      </c>
      <c r="C139" s="649"/>
      <c r="D139" s="650" t="s">
        <v>1175</v>
      </c>
      <c r="E139" s="649" t="s">
        <v>42</v>
      </c>
      <c r="F139" s="651">
        <v>0.11</v>
      </c>
      <c r="G139" s="652">
        <v>9.52</v>
      </c>
      <c r="H139" s="657"/>
      <c r="I139" s="652"/>
      <c r="J139" s="652">
        <f>ROUND(F139*G139,2)</f>
        <v>1.05</v>
      </c>
      <c r="K139" s="652">
        <f t="shared" si="26"/>
        <v>1.05</v>
      </c>
      <c r="L139" s="652"/>
      <c r="M139" s="652"/>
      <c r="N139" s="652"/>
      <c r="O139" s="652"/>
      <c r="P139" s="706"/>
    </row>
    <row r="140" spans="1:16" s="648" customFormat="1" ht="12" x14ac:dyDescent="0.25">
      <c r="A140" s="707"/>
      <c r="B140" s="667"/>
      <c r="C140" s="667"/>
      <c r="D140" s="668"/>
      <c r="E140" s="667"/>
      <c r="F140" s="669"/>
      <c r="G140" s="670"/>
      <c r="H140" s="708"/>
      <c r="I140" s="670"/>
      <c r="J140" s="670"/>
      <c r="K140" s="670"/>
      <c r="L140" s="670"/>
      <c r="M140" s="670"/>
      <c r="N140" s="670"/>
      <c r="O140" s="670"/>
      <c r="P140" s="709"/>
    </row>
    <row r="141" spans="1:16" s="648" customFormat="1" ht="24" x14ac:dyDescent="0.25">
      <c r="A141" s="703"/>
      <c r="B141" s="644"/>
      <c r="C141" s="644" t="s">
        <v>1349</v>
      </c>
      <c r="D141" s="654" t="str">
        <f>D142</f>
        <v>REFLETOR LED RGB 30W. Memoriza a Programação. Projetor com luz de lez colorida, minimo 16 variaçãoes de cores, inclusive branco, proteção IP65 contra chuva e jatos d'água. Alumínio  Fundido e dissipador de calor incorporado.</v>
      </c>
      <c r="E141" s="644" t="s">
        <v>56</v>
      </c>
      <c r="F141" s="646" t="s">
        <v>1208</v>
      </c>
      <c r="G141" s="647"/>
      <c r="H141" s="647">
        <v>15</v>
      </c>
      <c r="I141" s="647">
        <f>SUM(I142:I144)</f>
        <v>256.94</v>
      </c>
      <c r="J141" s="647">
        <f>SUM(J142:J144)</f>
        <v>45.44</v>
      </c>
      <c r="K141" s="647">
        <f>I141+J141</f>
        <v>302.38</v>
      </c>
      <c r="L141" s="647">
        <f>ROUND($H141*I141,2)</f>
        <v>3854.1</v>
      </c>
      <c r="M141" s="647">
        <f>ROUND($H141*J141,2)</f>
        <v>681.6</v>
      </c>
      <c r="N141" s="647">
        <f>L141+M141</f>
        <v>4535.7</v>
      </c>
      <c r="O141" s="647">
        <f>ROUND(N141*$P$5,2)</f>
        <v>1228.27</v>
      </c>
      <c r="P141" s="704">
        <f>N141+O141</f>
        <v>5763.9699999999993</v>
      </c>
    </row>
    <row r="142" spans="1:16" s="648" customFormat="1" ht="24" x14ac:dyDescent="0.25">
      <c r="A142" s="705" t="s">
        <v>79</v>
      </c>
      <c r="B142" s="649"/>
      <c r="C142" s="649"/>
      <c r="D142" s="650" t="s">
        <v>1284</v>
      </c>
      <c r="E142" s="649" t="s">
        <v>56</v>
      </c>
      <c r="F142" s="651">
        <v>1.02</v>
      </c>
      <c r="G142" s="652">
        <v>251.9</v>
      </c>
      <c r="H142" s="657"/>
      <c r="I142" s="652">
        <f>ROUND(F142*G142,2)</f>
        <v>256.94</v>
      </c>
      <c r="J142" s="652"/>
      <c r="K142" s="652">
        <f t="shared" ref="K142:K144" si="27">I142+J142</f>
        <v>256.94</v>
      </c>
      <c r="L142" s="652"/>
      <c r="M142" s="652"/>
      <c r="N142" s="652"/>
      <c r="O142" s="652"/>
      <c r="P142" s="706"/>
    </row>
    <row r="143" spans="1:16" x14ac:dyDescent="0.25">
      <c r="A143" s="705" t="s">
        <v>78</v>
      </c>
      <c r="B143" s="649">
        <v>2436</v>
      </c>
      <c r="C143" s="649"/>
      <c r="D143" s="650" t="s">
        <v>239</v>
      </c>
      <c r="E143" s="649" t="s">
        <v>42</v>
      </c>
      <c r="F143" s="651">
        <v>2</v>
      </c>
      <c r="G143" s="652">
        <v>13.2</v>
      </c>
      <c r="H143" s="657"/>
      <c r="I143" s="652"/>
      <c r="J143" s="652">
        <f>ROUND(F143*G143,2)</f>
        <v>26.4</v>
      </c>
      <c r="K143" s="652">
        <f t="shared" si="27"/>
        <v>26.4</v>
      </c>
      <c r="L143" s="652"/>
      <c r="M143" s="652"/>
      <c r="N143" s="652"/>
      <c r="O143" s="652"/>
      <c r="P143" s="706"/>
    </row>
    <row r="144" spans="1:16" x14ac:dyDescent="0.25">
      <c r="A144" s="705" t="s">
        <v>78</v>
      </c>
      <c r="B144" s="649">
        <v>247</v>
      </c>
      <c r="C144" s="649"/>
      <c r="D144" s="650" t="s">
        <v>1175</v>
      </c>
      <c r="E144" s="649" t="s">
        <v>42</v>
      </c>
      <c r="F144" s="651">
        <v>2</v>
      </c>
      <c r="G144" s="652">
        <v>9.52</v>
      </c>
      <c r="H144" s="657"/>
      <c r="I144" s="652"/>
      <c r="J144" s="652">
        <f>ROUND(F144*G144,2)</f>
        <v>19.04</v>
      </c>
      <c r="K144" s="652">
        <f t="shared" si="27"/>
        <v>19.04</v>
      </c>
      <c r="L144" s="652"/>
      <c r="M144" s="652"/>
      <c r="N144" s="652"/>
      <c r="O144" s="652"/>
      <c r="P144" s="706"/>
    </row>
    <row r="145" spans="1:16" ht="15.75" thickBot="1" x14ac:dyDescent="0.3">
      <c r="A145" s="697"/>
      <c r="B145" s="698"/>
      <c r="C145" s="698"/>
      <c r="D145" s="698"/>
      <c r="E145" s="698"/>
      <c r="F145" s="698"/>
      <c r="G145" s="698"/>
      <c r="H145" s="698"/>
      <c r="I145" s="698"/>
      <c r="J145" s="698"/>
      <c r="K145" s="698"/>
      <c r="L145" s="698"/>
      <c r="M145" s="698"/>
      <c r="N145" s="698"/>
      <c r="O145" s="698"/>
      <c r="P145" s="699"/>
    </row>
    <row r="146" spans="1:16" ht="15.75" thickBot="1" x14ac:dyDescent="0.3">
      <c r="A146" s="690"/>
      <c r="B146" s="691"/>
      <c r="C146" s="691"/>
      <c r="D146" s="692" t="s">
        <v>109</v>
      </c>
      <c r="E146" s="691"/>
      <c r="F146" s="691"/>
      <c r="G146" s="691"/>
      <c r="H146" s="691"/>
      <c r="I146" s="691"/>
      <c r="J146" s="691"/>
      <c r="K146" s="693"/>
      <c r="L146" s="694">
        <f>SUM(L14:L145)</f>
        <v>13811.510000000002</v>
      </c>
      <c r="M146" s="694">
        <f t="shared" ref="M146:P146" si="28">SUM(M14:M145)</f>
        <v>4692.26</v>
      </c>
      <c r="N146" s="694">
        <f t="shared" si="28"/>
        <v>18503.77</v>
      </c>
      <c r="O146" s="694">
        <f t="shared" si="28"/>
        <v>5010.83</v>
      </c>
      <c r="P146" s="694">
        <f t="shared" si="28"/>
        <v>23514.6</v>
      </c>
    </row>
  </sheetData>
  <mergeCells count="18">
    <mergeCell ref="B6:N6"/>
    <mergeCell ref="A1:P1"/>
    <mergeCell ref="A2:P2"/>
    <mergeCell ref="A3:P3"/>
    <mergeCell ref="A4:P4"/>
    <mergeCell ref="B5:N5"/>
    <mergeCell ref="L9:N9"/>
    <mergeCell ref="P9:P10"/>
    <mergeCell ref="B7:N7"/>
    <mergeCell ref="A9:A10"/>
    <mergeCell ref="B9:B10"/>
    <mergeCell ref="C9:C10"/>
    <mergeCell ref="D9:D10"/>
    <mergeCell ref="E9:E10"/>
    <mergeCell ref="F9:F10"/>
    <mergeCell ref="G9:G10"/>
    <mergeCell ref="H9:H10"/>
    <mergeCell ref="I9:K9"/>
  </mergeCells>
  <pageMargins left="0.51181102362204722" right="0.51181102362204722" top="0.78740157480314965" bottom="0.78740157480314965" header="0.31496062992125984" footer="0.31496062992125984"/>
  <pageSetup paperSize="9" scale="55" fitToHeight="1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102"/>
  <sheetViews>
    <sheetView topLeftCell="F1" workbookViewId="0">
      <selection activeCell="L10" sqref="L10"/>
    </sheetView>
  </sheetViews>
  <sheetFormatPr defaultRowHeight="15" x14ac:dyDescent="0.25"/>
  <cols>
    <col min="2" max="2" width="12.28515625" bestFit="1" customWidth="1"/>
    <col min="4" max="4" width="100.7109375" customWidth="1"/>
    <col min="8" max="8" width="11" customWidth="1"/>
    <col min="10" max="10" width="7.5703125" bestFit="1" customWidth="1"/>
    <col min="12" max="12" width="10.5703125" bestFit="1" customWidth="1"/>
    <col min="13" max="13" width="9.5703125" bestFit="1" customWidth="1"/>
    <col min="14" max="14" width="10.5703125" bestFit="1" customWidth="1"/>
    <col min="15" max="15" width="9.5703125" bestFit="1" customWidth="1"/>
    <col min="16" max="16" width="13" customWidth="1"/>
  </cols>
  <sheetData>
    <row r="1" spans="1:16" ht="15.75" x14ac:dyDescent="0.25">
      <c r="A1" s="846" t="s">
        <v>1153</v>
      </c>
      <c r="B1" s="847"/>
      <c r="C1" s="847"/>
      <c r="D1" s="847"/>
      <c r="E1" s="847"/>
      <c r="F1" s="847"/>
      <c r="G1" s="847"/>
      <c r="H1" s="847"/>
      <c r="I1" s="847"/>
      <c r="J1" s="847"/>
      <c r="K1" s="847"/>
      <c r="L1" s="847"/>
      <c r="M1" s="847"/>
      <c r="N1" s="847"/>
      <c r="O1" s="847"/>
      <c r="P1" s="848"/>
    </row>
    <row r="2" spans="1:16" ht="15.75" x14ac:dyDescent="0.25">
      <c r="A2" s="849" t="s">
        <v>1154</v>
      </c>
      <c r="B2" s="836"/>
      <c r="C2" s="836"/>
      <c r="D2" s="836"/>
      <c r="E2" s="836"/>
      <c r="F2" s="836"/>
      <c r="G2" s="836"/>
      <c r="H2" s="836"/>
      <c r="I2" s="836"/>
      <c r="J2" s="836"/>
      <c r="K2" s="836"/>
      <c r="L2" s="836"/>
      <c r="M2" s="836"/>
      <c r="N2" s="836"/>
      <c r="O2" s="836"/>
      <c r="P2" s="850"/>
    </row>
    <row r="3" spans="1:16" ht="16.5" thickBot="1" x14ac:dyDescent="0.3">
      <c r="A3" s="851" t="s">
        <v>1155</v>
      </c>
      <c r="B3" s="852"/>
      <c r="C3" s="852"/>
      <c r="D3" s="852"/>
      <c r="E3" s="852"/>
      <c r="F3" s="852"/>
      <c r="G3" s="852"/>
      <c r="H3" s="852"/>
      <c r="I3" s="852"/>
      <c r="J3" s="852"/>
      <c r="K3" s="852"/>
      <c r="L3" s="852"/>
      <c r="M3" s="852"/>
      <c r="N3" s="852"/>
      <c r="O3" s="852"/>
      <c r="P3" s="853"/>
    </row>
    <row r="4" spans="1:16" ht="16.5" thickBot="1" x14ac:dyDescent="0.3">
      <c r="A4" s="854" t="s">
        <v>1301</v>
      </c>
      <c r="B4" s="855"/>
      <c r="C4" s="855"/>
      <c r="D4" s="855"/>
      <c r="E4" s="855"/>
      <c r="F4" s="855"/>
      <c r="G4" s="855"/>
      <c r="H4" s="855"/>
      <c r="I4" s="855"/>
      <c r="J4" s="855"/>
      <c r="K4" s="855"/>
      <c r="L4" s="855"/>
      <c r="M4" s="855"/>
      <c r="N4" s="855"/>
      <c r="O4" s="855"/>
      <c r="P4" s="856"/>
    </row>
    <row r="5" spans="1:16" ht="15.75" x14ac:dyDescent="0.25">
      <c r="A5" s="631" t="s">
        <v>66</v>
      </c>
      <c r="B5" s="838" t="s">
        <v>1285</v>
      </c>
      <c r="C5" s="838"/>
      <c r="D5" s="838"/>
      <c r="E5" s="838"/>
      <c r="F5" s="838"/>
      <c r="G5" s="838"/>
      <c r="H5" s="838"/>
      <c r="I5" s="838"/>
      <c r="J5" s="838"/>
      <c r="K5" s="838"/>
      <c r="L5" s="838"/>
      <c r="M5" s="838"/>
      <c r="N5" s="838"/>
      <c r="O5" s="632" t="s">
        <v>1156</v>
      </c>
      <c r="P5" s="633">
        <v>0.27079999999999999</v>
      </c>
    </row>
    <row r="6" spans="1:16" ht="15.75" x14ac:dyDescent="0.25">
      <c r="A6" s="634" t="s">
        <v>69</v>
      </c>
      <c r="B6" s="839" t="s">
        <v>1157</v>
      </c>
      <c r="C6" s="839"/>
      <c r="D6" s="839"/>
      <c r="E6" s="839"/>
      <c r="F6" s="839"/>
      <c r="G6" s="839"/>
      <c r="H6" s="839"/>
      <c r="I6" s="839"/>
      <c r="J6" s="839"/>
      <c r="K6" s="839"/>
      <c r="L6" s="839"/>
      <c r="M6" s="839"/>
      <c r="N6" s="839"/>
      <c r="O6" s="635" t="s">
        <v>1158</v>
      </c>
      <c r="P6" s="633">
        <v>0.14019999999999999</v>
      </c>
    </row>
    <row r="7" spans="1:16" ht="15.75" x14ac:dyDescent="0.25">
      <c r="A7" s="636" t="s">
        <v>65</v>
      </c>
      <c r="B7" s="830">
        <v>41852</v>
      </c>
      <c r="C7" s="831"/>
      <c r="D7" s="831"/>
      <c r="E7" s="831"/>
      <c r="F7" s="831"/>
      <c r="G7" s="831"/>
      <c r="H7" s="831"/>
      <c r="I7" s="831"/>
      <c r="J7" s="831"/>
      <c r="K7" s="831"/>
      <c r="L7" s="831"/>
      <c r="M7" s="831"/>
      <c r="N7" s="831"/>
      <c r="O7" s="637"/>
      <c r="P7" s="638"/>
    </row>
    <row r="8" spans="1:16" x14ac:dyDescent="0.25">
      <c r="A8" s="697"/>
      <c r="B8" s="698"/>
      <c r="C8" s="698"/>
      <c r="D8" s="698"/>
      <c r="E8" s="698"/>
      <c r="F8" s="698"/>
      <c r="G8" s="698"/>
      <c r="H8" s="698"/>
      <c r="I8" s="698"/>
      <c r="J8" s="698"/>
      <c r="K8" s="698"/>
      <c r="L8" s="698"/>
      <c r="M8" s="698"/>
      <c r="N8" s="698"/>
      <c r="O8" s="698"/>
      <c r="P8" s="699"/>
    </row>
    <row r="9" spans="1:16" s="701" customFormat="1" ht="12" x14ac:dyDescent="0.25">
      <c r="A9" s="842" t="s">
        <v>1159</v>
      </c>
      <c r="B9" s="825" t="s">
        <v>1160</v>
      </c>
      <c r="C9" s="825" t="s">
        <v>1161</v>
      </c>
      <c r="D9" s="825" t="s">
        <v>1162</v>
      </c>
      <c r="E9" s="825" t="s">
        <v>1163</v>
      </c>
      <c r="F9" s="825" t="s">
        <v>1164</v>
      </c>
      <c r="G9" s="844" t="s">
        <v>1165</v>
      </c>
      <c r="H9" s="825" t="s">
        <v>1166</v>
      </c>
      <c r="I9" s="829" t="s">
        <v>1453</v>
      </c>
      <c r="J9" s="829"/>
      <c r="K9" s="829"/>
      <c r="L9" s="829" t="s">
        <v>1454</v>
      </c>
      <c r="M9" s="829"/>
      <c r="N9" s="829"/>
      <c r="O9" s="700" t="s">
        <v>1156</v>
      </c>
      <c r="P9" s="840" t="s">
        <v>1446</v>
      </c>
    </row>
    <row r="10" spans="1:16" s="701" customFormat="1" ht="24" x14ac:dyDescent="0.25">
      <c r="A10" s="843"/>
      <c r="B10" s="826"/>
      <c r="C10" s="826"/>
      <c r="D10" s="826"/>
      <c r="E10" s="826"/>
      <c r="F10" s="826"/>
      <c r="G10" s="845"/>
      <c r="H10" s="826"/>
      <c r="I10" s="639" t="s">
        <v>1167</v>
      </c>
      <c r="J10" s="639" t="s">
        <v>1168</v>
      </c>
      <c r="K10" s="639" t="s">
        <v>1169</v>
      </c>
      <c r="L10" s="639" t="s">
        <v>1167</v>
      </c>
      <c r="M10" s="639" t="s">
        <v>1168</v>
      </c>
      <c r="N10" s="639" t="s">
        <v>1169</v>
      </c>
      <c r="O10" s="702"/>
      <c r="P10" s="841"/>
    </row>
    <row r="11" spans="1:16" s="701" customFormat="1" x14ac:dyDescent="0.25">
      <c r="A11" s="697"/>
      <c r="B11" s="698"/>
      <c r="C11" s="698"/>
      <c r="D11" s="698"/>
      <c r="E11" s="698"/>
      <c r="F11" s="698"/>
      <c r="G11" s="698"/>
      <c r="H11" s="698"/>
      <c r="I11" s="698"/>
      <c r="J11" s="698"/>
      <c r="K11" s="698"/>
      <c r="L11" s="698"/>
      <c r="M11" s="698"/>
      <c r="N11" s="698"/>
      <c r="O11" s="698"/>
      <c r="P11" s="699"/>
    </row>
    <row r="12" spans="1:16" s="643" customFormat="1" ht="12" x14ac:dyDescent="0.25">
      <c r="A12" s="640"/>
      <c r="B12" s="640"/>
      <c r="C12" s="640">
        <v>14</v>
      </c>
      <c r="D12" s="641" t="s">
        <v>1170</v>
      </c>
      <c r="E12" s="640"/>
      <c r="F12" s="641"/>
      <c r="G12" s="642"/>
      <c r="H12" s="642"/>
      <c r="I12" s="642"/>
      <c r="J12" s="642"/>
      <c r="K12" s="642"/>
      <c r="L12" s="642"/>
      <c r="M12" s="642"/>
      <c r="N12" s="642"/>
      <c r="O12" s="642"/>
      <c r="P12" s="642"/>
    </row>
    <row r="14" spans="1:16" s="701" customFormat="1" ht="12" x14ac:dyDescent="0.25">
      <c r="A14" s="703"/>
      <c r="B14" s="644"/>
      <c r="C14" s="644" t="s">
        <v>1350</v>
      </c>
      <c r="D14" s="654" t="s">
        <v>1268</v>
      </c>
      <c r="E14" s="644" t="s">
        <v>57</v>
      </c>
      <c r="F14" s="646"/>
      <c r="G14" s="647"/>
      <c r="H14" s="647">
        <v>33</v>
      </c>
      <c r="I14" s="647">
        <f>SUM(I15:I17)</f>
        <v>1.72</v>
      </c>
      <c r="J14" s="647">
        <f>SUM(J15:J17)</f>
        <v>3.41</v>
      </c>
      <c r="K14" s="647">
        <f>I14+J14</f>
        <v>5.13</v>
      </c>
      <c r="L14" s="647">
        <f>ROUND($H14*I14,2)</f>
        <v>56.76</v>
      </c>
      <c r="M14" s="647">
        <f>ROUND($H14*J14,2)</f>
        <v>112.53</v>
      </c>
      <c r="N14" s="647">
        <f>L14+M14</f>
        <v>169.29</v>
      </c>
      <c r="O14" s="647">
        <f>ROUND(N14*$P$5,2)</f>
        <v>45.84</v>
      </c>
      <c r="P14" s="704">
        <f>N14+O14</f>
        <v>215.13</v>
      </c>
    </row>
    <row r="15" spans="1:16" s="701" customFormat="1" ht="12" x14ac:dyDescent="0.25">
      <c r="A15" s="705" t="s">
        <v>78</v>
      </c>
      <c r="B15" s="655">
        <v>1872</v>
      </c>
      <c r="C15" s="649"/>
      <c r="D15" s="650" t="s">
        <v>1268</v>
      </c>
      <c r="E15" s="649" t="s">
        <v>57</v>
      </c>
      <c r="F15" s="651">
        <v>1</v>
      </c>
      <c r="G15" s="656">
        <v>1.72</v>
      </c>
      <c r="H15" s="657"/>
      <c r="I15" s="656">
        <f>ROUND(F15*G15,2)</f>
        <v>1.72</v>
      </c>
      <c r="J15" s="652"/>
      <c r="K15" s="652">
        <f t="shared" ref="K15:K17" si="0">I15+J15</f>
        <v>1.72</v>
      </c>
      <c r="L15" s="652"/>
      <c r="M15" s="652"/>
      <c r="N15" s="652"/>
      <c r="O15" s="652"/>
      <c r="P15" s="706"/>
    </row>
    <row r="16" spans="1:16" s="701" customFormat="1" ht="12" x14ac:dyDescent="0.25">
      <c r="A16" s="705" t="s">
        <v>78</v>
      </c>
      <c r="B16" s="649">
        <v>2436</v>
      </c>
      <c r="C16" s="649"/>
      <c r="D16" s="650" t="s">
        <v>239</v>
      </c>
      <c r="E16" s="649" t="s">
        <v>42</v>
      </c>
      <c r="F16" s="651">
        <v>0.15</v>
      </c>
      <c r="G16" s="652">
        <v>13.2</v>
      </c>
      <c r="H16" s="657"/>
      <c r="I16" s="652"/>
      <c r="J16" s="652">
        <f t="shared" ref="J16:J17" si="1">ROUND(F16*G16,2)</f>
        <v>1.98</v>
      </c>
      <c r="K16" s="652">
        <f t="shared" si="0"/>
        <v>1.98</v>
      </c>
      <c r="L16" s="652"/>
      <c r="M16" s="652"/>
      <c r="N16" s="652"/>
      <c r="O16" s="652"/>
      <c r="P16" s="706"/>
    </row>
    <row r="17" spans="1:16" s="701" customFormat="1" ht="12" x14ac:dyDescent="0.25">
      <c r="A17" s="705" t="s">
        <v>78</v>
      </c>
      <c r="B17" s="649">
        <v>247</v>
      </c>
      <c r="C17" s="649"/>
      <c r="D17" s="650" t="s">
        <v>1175</v>
      </c>
      <c r="E17" s="649" t="s">
        <v>42</v>
      </c>
      <c r="F17" s="651">
        <v>0.15</v>
      </c>
      <c r="G17" s="652">
        <v>9.52</v>
      </c>
      <c r="H17" s="657"/>
      <c r="I17" s="652"/>
      <c r="J17" s="652">
        <f t="shared" si="1"/>
        <v>1.43</v>
      </c>
      <c r="K17" s="652">
        <f t="shared" si="0"/>
        <v>1.43</v>
      </c>
      <c r="L17" s="652"/>
      <c r="M17" s="652"/>
      <c r="N17" s="652"/>
      <c r="O17" s="652"/>
      <c r="P17" s="706"/>
    </row>
    <row r="18" spans="1:16" s="701" customFormat="1" ht="12" x14ac:dyDescent="0.25">
      <c r="A18" s="707"/>
      <c r="B18" s="667"/>
      <c r="C18" s="667"/>
      <c r="D18" s="668"/>
      <c r="E18" s="667"/>
      <c r="F18" s="669"/>
      <c r="G18" s="670"/>
      <c r="H18" s="708"/>
      <c r="I18" s="670"/>
      <c r="J18" s="670"/>
      <c r="K18" s="670"/>
      <c r="L18" s="670"/>
      <c r="M18" s="670"/>
      <c r="N18" s="670"/>
      <c r="O18" s="670"/>
      <c r="P18" s="709"/>
    </row>
    <row r="19" spans="1:16" s="701" customFormat="1" ht="12" x14ac:dyDescent="0.25">
      <c r="A19" s="703"/>
      <c r="B19" s="644"/>
      <c r="C19" s="644" t="s">
        <v>1351</v>
      </c>
      <c r="D19" s="654" t="s">
        <v>1182</v>
      </c>
      <c r="E19" s="644" t="s">
        <v>56</v>
      </c>
      <c r="F19" s="646"/>
      <c r="G19" s="647"/>
      <c r="H19" s="647">
        <v>49</v>
      </c>
      <c r="I19" s="647">
        <f>SUM(I20:I22)</f>
        <v>1.18</v>
      </c>
      <c r="J19" s="647">
        <f>SUM(J20:J22)</f>
        <v>3.41</v>
      </c>
      <c r="K19" s="647">
        <f>I19+J19</f>
        <v>4.59</v>
      </c>
      <c r="L19" s="647">
        <f>ROUND($H19*I19,2)</f>
        <v>57.82</v>
      </c>
      <c r="M19" s="647">
        <f>ROUND($H19*J19,2)</f>
        <v>167.09</v>
      </c>
      <c r="N19" s="647">
        <f>L19+M19</f>
        <v>224.91</v>
      </c>
      <c r="O19" s="647">
        <f>ROUND(N19*$P$5,2)</f>
        <v>60.91</v>
      </c>
      <c r="P19" s="704">
        <f>N19+O19</f>
        <v>285.82</v>
      </c>
    </row>
    <row r="20" spans="1:16" s="701" customFormat="1" ht="12" x14ac:dyDescent="0.25">
      <c r="A20" s="705" t="s">
        <v>78</v>
      </c>
      <c r="B20" s="649">
        <v>2689</v>
      </c>
      <c r="C20" s="649"/>
      <c r="D20" s="650" t="s">
        <v>1182</v>
      </c>
      <c r="E20" s="649" t="s">
        <v>56</v>
      </c>
      <c r="F20" s="651">
        <v>1</v>
      </c>
      <c r="G20" s="652">
        <v>1.18</v>
      </c>
      <c r="H20" s="657"/>
      <c r="I20" s="656">
        <f>ROUND(F20*G20,2)</f>
        <v>1.18</v>
      </c>
      <c r="J20" s="652"/>
      <c r="K20" s="652">
        <f t="shared" ref="K20:K22" si="2">I20+J20</f>
        <v>1.18</v>
      </c>
      <c r="L20" s="652"/>
      <c r="M20" s="652"/>
      <c r="N20" s="652"/>
      <c r="O20" s="652"/>
      <c r="P20" s="706"/>
    </row>
    <row r="21" spans="1:16" s="701" customFormat="1" ht="12" x14ac:dyDescent="0.25">
      <c r="A21" s="705" t="s">
        <v>78</v>
      </c>
      <c r="B21" s="649">
        <v>2436</v>
      </c>
      <c r="C21" s="649"/>
      <c r="D21" s="650" t="s">
        <v>239</v>
      </c>
      <c r="E21" s="649" t="s">
        <v>42</v>
      </c>
      <c r="F21" s="651">
        <v>0.15</v>
      </c>
      <c r="G21" s="652">
        <v>13.2</v>
      </c>
      <c r="H21" s="657"/>
      <c r="I21" s="652"/>
      <c r="J21" s="652">
        <f t="shared" ref="J21:J22" si="3">ROUND(F21*G21,2)</f>
        <v>1.98</v>
      </c>
      <c r="K21" s="652">
        <f t="shared" si="2"/>
        <v>1.98</v>
      </c>
      <c r="L21" s="652"/>
      <c r="M21" s="652"/>
      <c r="N21" s="652"/>
      <c r="O21" s="652"/>
      <c r="P21" s="706"/>
    </row>
    <row r="22" spans="1:16" s="701" customFormat="1" ht="12" x14ac:dyDescent="0.25">
      <c r="A22" s="705" t="s">
        <v>78</v>
      </c>
      <c r="B22" s="649">
        <v>247</v>
      </c>
      <c r="C22" s="649"/>
      <c r="D22" s="650" t="s">
        <v>1175</v>
      </c>
      <c r="E22" s="649" t="s">
        <v>42</v>
      </c>
      <c r="F22" s="651">
        <v>0.15</v>
      </c>
      <c r="G22" s="652">
        <v>9.52</v>
      </c>
      <c r="H22" s="657"/>
      <c r="I22" s="652"/>
      <c r="J22" s="652">
        <f t="shared" si="3"/>
        <v>1.43</v>
      </c>
      <c r="K22" s="652">
        <f t="shared" si="2"/>
        <v>1.43</v>
      </c>
      <c r="L22" s="652"/>
      <c r="M22" s="652"/>
      <c r="N22" s="652"/>
      <c r="O22" s="652"/>
      <c r="P22" s="706"/>
    </row>
    <row r="23" spans="1:16" s="701" customFormat="1" ht="12" x14ac:dyDescent="0.25">
      <c r="A23" s="705"/>
      <c r="B23" s="649"/>
      <c r="C23" s="649"/>
      <c r="D23" s="650"/>
      <c r="E23" s="649"/>
      <c r="F23" s="651"/>
      <c r="G23" s="652"/>
      <c r="H23" s="657"/>
      <c r="I23" s="652"/>
      <c r="J23" s="652"/>
      <c r="K23" s="652"/>
      <c r="L23" s="652"/>
      <c r="M23" s="652"/>
      <c r="N23" s="652"/>
      <c r="O23" s="652"/>
      <c r="P23" s="706"/>
    </row>
    <row r="24" spans="1:16" s="701" customFormat="1" ht="12" x14ac:dyDescent="0.25">
      <c r="A24" s="703"/>
      <c r="B24" s="644"/>
      <c r="C24" s="644" t="s">
        <v>1352</v>
      </c>
      <c r="D24" s="654" t="s">
        <v>1269</v>
      </c>
      <c r="E24" s="644" t="s">
        <v>56</v>
      </c>
      <c r="F24" s="646"/>
      <c r="G24" s="647"/>
      <c r="H24" s="647">
        <v>80</v>
      </c>
      <c r="I24" s="647">
        <f>SUM(I25:I27)</f>
        <v>1.94</v>
      </c>
      <c r="J24" s="647">
        <f>SUM(J25:J27)</f>
        <v>4.54</v>
      </c>
      <c r="K24" s="647">
        <f>I24+J24</f>
        <v>6.48</v>
      </c>
      <c r="L24" s="647">
        <f>ROUND($H24*I24,2)</f>
        <v>155.19999999999999</v>
      </c>
      <c r="M24" s="647">
        <f>ROUND($H24*J24,2)</f>
        <v>363.2</v>
      </c>
      <c r="N24" s="647">
        <f>L24+M24</f>
        <v>518.4</v>
      </c>
      <c r="O24" s="647">
        <f>ROUND(N24*$P$5,2)</f>
        <v>140.38</v>
      </c>
      <c r="P24" s="704">
        <f>N24+O24</f>
        <v>658.78</v>
      </c>
    </row>
    <row r="25" spans="1:16" s="701" customFormat="1" ht="12" x14ac:dyDescent="0.25">
      <c r="A25" s="705" t="s">
        <v>78</v>
      </c>
      <c r="B25" s="649">
        <v>2674</v>
      </c>
      <c r="C25" s="649"/>
      <c r="D25" s="650" t="s">
        <v>1270</v>
      </c>
      <c r="E25" s="649" t="s">
        <v>56</v>
      </c>
      <c r="F25" s="651">
        <v>1</v>
      </c>
      <c r="G25" s="652">
        <v>1.94</v>
      </c>
      <c r="H25" s="657"/>
      <c r="I25" s="656">
        <f>ROUND(F25*G25,2)</f>
        <v>1.94</v>
      </c>
      <c r="J25" s="652"/>
      <c r="K25" s="652">
        <f t="shared" ref="K25:K27" si="4">I25+J25</f>
        <v>1.94</v>
      </c>
      <c r="L25" s="652"/>
      <c r="M25" s="652"/>
      <c r="N25" s="652"/>
      <c r="O25" s="652"/>
      <c r="P25" s="706"/>
    </row>
    <row r="26" spans="1:16" s="701" customFormat="1" ht="12" x14ac:dyDescent="0.25">
      <c r="A26" s="705" t="s">
        <v>78</v>
      </c>
      <c r="B26" s="649">
        <v>2436</v>
      </c>
      <c r="C26" s="649"/>
      <c r="D26" s="650" t="s">
        <v>239</v>
      </c>
      <c r="E26" s="649" t="s">
        <v>42</v>
      </c>
      <c r="F26" s="651">
        <v>0.2</v>
      </c>
      <c r="G26" s="652">
        <v>13.2</v>
      </c>
      <c r="H26" s="657"/>
      <c r="I26" s="652"/>
      <c r="J26" s="652">
        <f t="shared" ref="J26:J27" si="5">ROUND(F26*G26,2)</f>
        <v>2.64</v>
      </c>
      <c r="K26" s="652">
        <f t="shared" si="4"/>
        <v>2.64</v>
      </c>
      <c r="L26" s="652"/>
      <c r="M26" s="652"/>
      <c r="N26" s="652"/>
      <c r="O26" s="652"/>
      <c r="P26" s="706"/>
    </row>
    <row r="27" spans="1:16" s="701" customFormat="1" ht="12" x14ac:dyDescent="0.25">
      <c r="A27" s="705" t="s">
        <v>78</v>
      </c>
      <c r="B27" s="649">
        <v>247</v>
      </c>
      <c r="C27" s="649"/>
      <c r="D27" s="650" t="s">
        <v>1175</v>
      </c>
      <c r="E27" s="649" t="s">
        <v>42</v>
      </c>
      <c r="F27" s="651">
        <v>0.2</v>
      </c>
      <c r="G27" s="652">
        <v>9.52</v>
      </c>
      <c r="H27" s="657"/>
      <c r="I27" s="652"/>
      <c r="J27" s="652">
        <f t="shared" si="5"/>
        <v>1.9</v>
      </c>
      <c r="K27" s="652">
        <f t="shared" si="4"/>
        <v>1.9</v>
      </c>
      <c r="L27" s="652"/>
      <c r="M27" s="652"/>
      <c r="N27" s="652"/>
      <c r="O27" s="652"/>
      <c r="P27" s="706"/>
    </row>
    <row r="28" spans="1:16" s="701" customFormat="1" ht="12" x14ac:dyDescent="0.25">
      <c r="A28" s="710"/>
      <c r="B28" s="649"/>
      <c r="C28" s="649"/>
      <c r="D28" s="650"/>
      <c r="E28" s="649"/>
      <c r="F28" s="651"/>
      <c r="G28" s="652"/>
      <c r="H28" s="657"/>
      <c r="I28" s="652"/>
      <c r="J28" s="652"/>
      <c r="K28" s="652"/>
      <c r="L28" s="652"/>
      <c r="M28" s="652"/>
      <c r="N28" s="652"/>
      <c r="O28" s="652"/>
      <c r="P28" s="711"/>
    </row>
    <row r="29" spans="1:16" s="648" customFormat="1" ht="12" x14ac:dyDescent="0.25">
      <c r="A29" s="644"/>
      <c r="B29" s="644"/>
      <c r="C29" s="644" t="s">
        <v>1353</v>
      </c>
      <c r="D29" s="654" t="s">
        <v>1176</v>
      </c>
      <c r="E29" s="644" t="s">
        <v>57</v>
      </c>
      <c r="F29" s="646"/>
      <c r="G29" s="647"/>
      <c r="H29" s="647">
        <v>11</v>
      </c>
      <c r="I29" s="647">
        <f>SUM(I30:I32)</f>
        <v>6.08</v>
      </c>
      <c r="J29" s="647">
        <f>SUM(J30:J32)</f>
        <v>11.36</v>
      </c>
      <c r="K29" s="647">
        <f>I29+J29</f>
        <v>17.439999999999998</v>
      </c>
      <c r="L29" s="647">
        <f>ROUND($H29*I29,2)</f>
        <v>66.88</v>
      </c>
      <c r="M29" s="647">
        <f>ROUND($H29*J29,2)</f>
        <v>124.96</v>
      </c>
      <c r="N29" s="647">
        <f>L29+M29</f>
        <v>191.83999999999997</v>
      </c>
      <c r="O29" s="647">
        <f>ROUND(N29*$P$5,2)</f>
        <v>51.95</v>
      </c>
      <c r="P29" s="704">
        <f>N29+O29</f>
        <v>243.78999999999996</v>
      </c>
    </row>
    <row r="30" spans="1:16" s="648" customFormat="1" ht="12" x14ac:dyDescent="0.25">
      <c r="A30" s="649" t="s">
        <v>79</v>
      </c>
      <c r="B30" s="649" t="s">
        <v>1177</v>
      </c>
      <c r="C30" s="649"/>
      <c r="D30" s="650" t="s">
        <v>1176</v>
      </c>
      <c r="E30" s="649" t="s">
        <v>57</v>
      </c>
      <c r="F30" s="651">
        <v>1</v>
      </c>
      <c r="G30" s="652">
        <v>6.08</v>
      </c>
      <c r="H30" s="657"/>
      <c r="I30" s="656">
        <f>ROUND(F30*G30,2)</f>
        <v>6.08</v>
      </c>
      <c r="J30" s="652"/>
      <c r="K30" s="652">
        <f t="shared" ref="K30:K32" si="6">I30+J30</f>
        <v>6.08</v>
      </c>
      <c r="L30" s="652"/>
      <c r="M30" s="652"/>
      <c r="N30" s="652"/>
      <c r="O30" s="652"/>
      <c r="P30" s="652"/>
    </row>
    <row r="31" spans="1:16" s="648" customFormat="1" ht="12" x14ac:dyDescent="0.25">
      <c r="A31" s="649" t="s">
        <v>78</v>
      </c>
      <c r="B31" s="649">
        <v>2436</v>
      </c>
      <c r="C31" s="649"/>
      <c r="D31" s="650" t="s">
        <v>239</v>
      </c>
      <c r="E31" s="649" t="s">
        <v>42</v>
      </c>
      <c r="F31" s="651">
        <v>0.5</v>
      </c>
      <c r="G31" s="652">
        <v>13.2</v>
      </c>
      <c r="H31" s="657"/>
      <c r="I31" s="652"/>
      <c r="J31" s="652">
        <f t="shared" ref="J31:J32" si="7">ROUND(F31*G31,2)</f>
        <v>6.6</v>
      </c>
      <c r="K31" s="652">
        <f t="shared" si="6"/>
        <v>6.6</v>
      </c>
      <c r="L31" s="652"/>
      <c r="M31" s="652"/>
      <c r="N31" s="652"/>
      <c r="O31" s="652"/>
      <c r="P31" s="652"/>
    </row>
    <row r="32" spans="1:16" s="648" customFormat="1" ht="12" x14ac:dyDescent="0.25">
      <c r="A32" s="649" t="s">
        <v>78</v>
      </c>
      <c r="B32" s="649">
        <v>247</v>
      </c>
      <c r="C32" s="649"/>
      <c r="D32" s="650" t="s">
        <v>1175</v>
      </c>
      <c r="E32" s="649" t="s">
        <v>42</v>
      </c>
      <c r="F32" s="651">
        <v>0.5</v>
      </c>
      <c r="G32" s="652">
        <v>9.52</v>
      </c>
      <c r="H32" s="657"/>
      <c r="I32" s="652"/>
      <c r="J32" s="652">
        <f t="shared" si="7"/>
        <v>4.76</v>
      </c>
      <c r="K32" s="652">
        <f t="shared" si="6"/>
        <v>4.76</v>
      </c>
      <c r="L32" s="652"/>
      <c r="M32" s="652"/>
      <c r="N32" s="652"/>
      <c r="O32" s="652"/>
      <c r="P32" s="652"/>
    </row>
    <row r="33" spans="1:16" s="648" customFormat="1" ht="12" x14ac:dyDescent="0.25">
      <c r="A33" s="710"/>
      <c r="B33" s="649"/>
      <c r="C33" s="649"/>
      <c r="D33" s="650"/>
      <c r="E33" s="649"/>
      <c r="F33" s="651"/>
      <c r="G33" s="652"/>
      <c r="H33" s="657"/>
      <c r="I33" s="652"/>
      <c r="J33" s="652"/>
      <c r="K33" s="652"/>
      <c r="L33" s="652"/>
      <c r="M33" s="652"/>
      <c r="N33" s="652"/>
      <c r="O33" s="652"/>
      <c r="P33" s="711"/>
    </row>
    <row r="34" spans="1:16" s="648" customFormat="1" ht="24" x14ac:dyDescent="0.25">
      <c r="A34" s="703"/>
      <c r="B34" s="644"/>
      <c r="C34" s="644" t="s">
        <v>1354</v>
      </c>
      <c r="D34" s="654" t="s">
        <v>1230</v>
      </c>
      <c r="E34" s="644" t="s">
        <v>57</v>
      </c>
      <c r="F34" s="646"/>
      <c r="G34" s="647"/>
      <c r="H34" s="647">
        <v>12</v>
      </c>
      <c r="I34" s="647">
        <f>SUM(I35:I42)</f>
        <v>68.740000000000009</v>
      </c>
      <c r="J34" s="647">
        <f>SUM(J35:J42)</f>
        <v>22.72</v>
      </c>
      <c r="K34" s="647">
        <f>I34+J34</f>
        <v>91.460000000000008</v>
      </c>
      <c r="L34" s="647">
        <f>ROUND($H34*I34,2)</f>
        <v>824.88</v>
      </c>
      <c r="M34" s="647">
        <f>ROUND($H34*J34,2)</f>
        <v>272.64</v>
      </c>
      <c r="N34" s="647">
        <f>L34+M34</f>
        <v>1097.52</v>
      </c>
      <c r="O34" s="647">
        <f>ROUND(N34*$P$5,2)</f>
        <v>297.20999999999998</v>
      </c>
      <c r="P34" s="704">
        <f>N34+O34</f>
        <v>1394.73</v>
      </c>
    </row>
    <row r="35" spans="1:16" s="648" customFormat="1" ht="36" x14ac:dyDescent="0.25">
      <c r="A35" s="705" t="s">
        <v>1142</v>
      </c>
      <c r="B35" s="655" t="s">
        <v>1231</v>
      </c>
      <c r="C35" s="649"/>
      <c r="D35" s="650" t="s">
        <v>1232</v>
      </c>
      <c r="E35" s="649" t="s">
        <v>57</v>
      </c>
      <c r="F35" s="651">
        <v>1</v>
      </c>
      <c r="G35" s="656">
        <v>34.5</v>
      </c>
      <c r="H35" s="657"/>
      <c r="I35" s="652">
        <f t="shared" ref="I35:I40" si="8">ROUND(F35*G35,2)</f>
        <v>34.5</v>
      </c>
      <c r="J35" s="652"/>
      <c r="K35" s="652">
        <f t="shared" ref="K35:K42" si="9">I35+J35</f>
        <v>34.5</v>
      </c>
      <c r="L35" s="652"/>
      <c r="M35" s="652"/>
      <c r="N35" s="652"/>
      <c r="O35" s="652"/>
      <c r="P35" s="706"/>
    </row>
    <row r="36" spans="1:16" s="648" customFormat="1" ht="12" x14ac:dyDescent="0.25">
      <c r="A36" s="705" t="s">
        <v>1142</v>
      </c>
      <c r="B36" s="649" t="s">
        <v>1233</v>
      </c>
      <c r="C36" s="649"/>
      <c r="D36" s="650" t="s">
        <v>1234</v>
      </c>
      <c r="E36" s="649" t="s">
        <v>57</v>
      </c>
      <c r="F36" s="651">
        <v>2</v>
      </c>
      <c r="G36" s="652">
        <v>10.6</v>
      </c>
      <c r="H36" s="657"/>
      <c r="I36" s="652">
        <f t="shared" si="8"/>
        <v>21.2</v>
      </c>
      <c r="J36" s="652"/>
      <c r="K36" s="652">
        <f t="shared" si="9"/>
        <v>21.2</v>
      </c>
      <c r="L36" s="652"/>
      <c r="M36" s="652"/>
      <c r="N36" s="652"/>
      <c r="O36" s="652"/>
      <c r="P36" s="706"/>
    </row>
    <row r="37" spans="1:16" s="648" customFormat="1" ht="12" x14ac:dyDescent="0.25">
      <c r="A37" s="705" t="s">
        <v>1142</v>
      </c>
      <c r="B37" s="649" t="s">
        <v>1235</v>
      </c>
      <c r="C37" s="649"/>
      <c r="D37" s="650" t="s">
        <v>1236</v>
      </c>
      <c r="E37" s="649" t="s">
        <v>57</v>
      </c>
      <c r="F37" s="651">
        <v>1</v>
      </c>
      <c r="G37" s="652">
        <v>1.45</v>
      </c>
      <c r="H37" s="657"/>
      <c r="I37" s="652">
        <f t="shared" si="8"/>
        <v>1.45</v>
      </c>
      <c r="J37" s="652"/>
      <c r="K37" s="652">
        <f t="shared" si="9"/>
        <v>1.45</v>
      </c>
      <c r="L37" s="652"/>
      <c r="M37" s="652"/>
      <c r="N37" s="652"/>
      <c r="O37" s="652"/>
      <c r="P37" s="706"/>
    </row>
    <row r="38" spans="1:16" s="648" customFormat="1" ht="12" x14ac:dyDescent="0.25">
      <c r="A38" s="705" t="s">
        <v>1142</v>
      </c>
      <c r="B38" s="649" t="s">
        <v>1237</v>
      </c>
      <c r="C38" s="649"/>
      <c r="D38" s="650" t="s">
        <v>1238</v>
      </c>
      <c r="E38" s="649" t="s">
        <v>57</v>
      </c>
      <c r="F38" s="651">
        <v>1</v>
      </c>
      <c r="G38" s="652">
        <v>4.17</v>
      </c>
      <c r="H38" s="657"/>
      <c r="I38" s="652">
        <f t="shared" si="8"/>
        <v>4.17</v>
      </c>
      <c r="J38" s="652"/>
      <c r="K38" s="652">
        <f t="shared" si="9"/>
        <v>4.17</v>
      </c>
      <c r="L38" s="652"/>
      <c r="M38" s="652"/>
      <c r="N38" s="652"/>
      <c r="O38" s="652"/>
      <c r="P38" s="706"/>
    </row>
    <row r="39" spans="1:16" s="648" customFormat="1" ht="12" x14ac:dyDescent="0.25">
      <c r="A39" s="705" t="s">
        <v>1142</v>
      </c>
      <c r="B39" s="649" t="s">
        <v>1237</v>
      </c>
      <c r="C39" s="649"/>
      <c r="D39" s="650" t="s">
        <v>1239</v>
      </c>
      <c r="E39" s="649" t="s">
        <v>57</v>
      </c>
      <c r="F39" s="651">
        <v>1</v>
      </c>
      <c r="G39" s="652">
        <v>4.22</v>
      </c>
      <c r="H39" s="657"/>
      <c r="I39" s="652">
        <f t="shared" si="8"/>
        <v>4.22</v>
      </c>
      <c r="J39" s="652"/>
      <c r="K39" s="652">
        <f t="shared" si="9"/>
        <v>4.22</v>
      </c>
      <c r="L39" s="652"/>
      <c r="M39" s="652"/>
      <c r="N39" s="652"/>
      <c r="O39" s="652"/>
      <c r="P39" s="706"/>
    </row>
    <row r="40" spans="1:16" s="648" customFormat="1" ht="12" x14ac:dyDescent="0.25">
      <c r="A40" s="705" t="s">
        <v>1142</v>
      </c>
      <c r="B40" s="649" t="s">
        <v>1240</v>
      </c>
      <c r="C40" s="649"/>
      <c r="D40" s="650" t="s">
        <v>1241</v>
      </c>
      <c r="E40" s="649" t="s">
        <v>56</v>
      </c>
      <c r="F40" s="651">
        <v>2</v>
      </c>
      <c r="G40" s="652">
        <v>1.6</v>
      </c>
      <c r="H40" s="657"/>
      <c r="I40" s="652">
        <f t="shared" si="8"/>
        <v>3.2</v>
      </c>
      <c r="J40" s="652"/>
      <c r="K40" s="652">
        <f t="shared" si="9"/>
        <v>3.2</v>
      </c>
      <c r="L40" s="652"/>
      <c r="M40" s="652"/>
      <c r="N40" s="652"/>
      <c r="O40" s="652"/>
      <c r="P40" s="706"/>
    </row>
    <row r="41" spans="1:16" s="648" customFormat="1" ht="12" x14ac:dyDescent="0.25">
      <c r="A41" s="705" t="s">
        <v>78</v>
      </c>
      <c r="B41" s="649">
        <v>2436</v>
      </c>
      <c r="C41" s="649"/>
      <c r="D41" s="650" t="s">
        <v>239</v>
      </c>
      <c r="E41" s="649" t="s">
        <v>42</v>
      </c>
      <c r="F41" s="651">
        <v>1</v>
      </c>
      <c r="G41" s="652">
        <v>13.2</v>
      </c>
      <c r="H41" s="657"/>
      <c r="I41" s="652"/>
      <c r="J41" s="652">
        <f>ROUND(F41*G41,2)</f>
        <v>13.2</v>
      </c>
      <c r="K41" s="652">
        <f t="shared" si="9"/>
        <v>13.2</v>
      </c>
      <c r="L41" s="652"/>
      <c r="M41" s="652"/>
      <c r="N41" s="652"/>
      <c r="O41" s="652"/>
      <c r="P41" s="706"/>
    </row>
    <row r="42" spans="1:16" s="648" customFormat="1" ht="12" x14ac:dyDescent="0.25">
      <c r="A42" s="705" t="s">
        <v>78</v>
      </c>
      <c r="B42" s="649">
        <v>247</v>
      </c>
      <c r="C42" s="649"/>
      <c r="D42" s="650" t="s">
        <v>1175</v>
      </c>
      <c r="E42" s="649" t="s">
        <v>42</v>
      </c>
      <c r="F42" s="651">
        <v>1</v>
      </c>
      <c r="G42" s="652">
        <v>9.52</v>
      </c>
      <c r="H42" s="657"/>
      <c r="I42" s="652"/>
      <c r="J42" s="652">
        <f>ROUND(F42*G42,2)</f>
        <v>9.52</v>
      </c>
      <c r="K42" s="652">
        <f t="shared" si="9"/>
        <v>9.52</v>
      </c>
      <c r="L42" s="652"/>
      <c r="M42" s="652"/>
      <c r="N42" s="652"/>
      <c r="O42" s="652"/>
      <c r="P42" s="706"/>
    </row>
    <row r="43" spans="1:16" x14ac:dyDescent="0.25">
      <c r="A43" s="697"/>
      <c r="B43" s="698"/>
      <c r="C43" s="698"/>
      <c r="D43" s="698"/>
      <c r="E43" s="698"/>
      <c r="F43" s="698"/>
      <c r="G43" s="698"/>
      <c r="H43" s="698"/>
      <c r="I43" s="698"/>
      <c r="J43" s="698"/>
      <c r="K43" s="698"/>
      <c r="L43" s="698"/>
      <c r="M43" s="698"/>
      <c r="N43" s="698"/>
      <c r="O43" s="698"/>
      <c r="P43" s="699"/>
    </row>
    <row r="44" spans="1:16" s="648" customFormat="1" ht="12" x14ac:dyDescent="0.25">
      <c r="A44" s="703"/>
      <c r="B44" s="644"/>
      <c r="C44" s="644" t="s">
        <v>1355</v>
      </c>
      <c r="D44" s="654" t="s">
        <v>1286</v>
      </c>
      <c r="E44" s="644" t="s">
        <v>57</v>
      </c>
      <c r="F44" s="646"/>
      <c r="G44" s="647"/>
      <c r="H44" s="646">
        <v>10</v>
      </c>
      <c r="I44" s="647">
        <f>SUM(I45:I49)</f>
        <v>891.45</v>
      </c>
      <c r="J44" s="647">
        <f>SUM(J45:J49)</f>
        <v>34.08</v>
      </c>
      <c r="K44" s="647">
        <f>I44+J44</f>
        <v>925.53000000000009</v>
      </c>
      <c r="L44" s="647">
        <f>ROUND($H44*I44,2)</f>
        <v>8914.5</v>
      </c>
      <c r="M44" s="647">
        <f>ROUND($H44*J44,2)</f>
        <v>340.8</v>
      </c>
      <c r="N44" s="647">
        <f>L44+M44</f>
        <v>9255.2999999999993</v>
      </c>
      <c r="O44" s="647">
        <f>ROUND(N44*$P$5,2)</f>
        <v>2506.34</v>
      </c>
      <c r="P44" s="704">
        <f>N44+O44</f>
        <v>11761.64</v>
      </c>
    </row>
    <row r="45" spans="1:16" s="648" customFormat="1" ht="60" x14ac:dyDescent="0.25">
      <c r="A45" s="705" t="s">
        <v>1142</v>
      </c>
      <c r="B45" s="655" t="s">
        <v>1231</v>
      </c>
      <c r="C45" s="649"/>
      <c r="D45" s="650" t="s">
        <v>1287</v>
      </c>
      <c r="E45" s="649" t="s">
        <v>57</v>
      </c>
      <c r="F45" s="651">
        <v>6</v>
      </c>
      <c r="G45" s="656">
        <v>147.80000000000001</v>
      </c>
      <c r="H45" s="657"/>
      <c r="I45" s="652">
        <f>ROUND(F45*G45,2)</f>
        <v>886.8</v>
      </c>
      <c r="J45" s="652"/>
      <c r="K45" s="652">
        <f t="shared" ref="K45:K49" si="10">I45+J45</f>
        <v>886.8</v>
      </c>
      <c r="L45" s="652"/>
      <c r="M45" s="652"/>
      <c r="N45" s="652"/>
      <c r="O45" s="652"/>
      <c r="P45" s="706"/>
    </row>
    <row r="46" spans="1:16" s="648" customFormat="1" ht="12" x14ac:dyDescent="0.25">
      <c r="A46" s="705" t="s">
        <v>1142</v>
      </c>
      <c r="B46" s="649" t="s">
        <v>1235</v>
      </c>
      <c r="C46" s="649"/>
      <c r="D46" s="650" t="s">
        <v>1236</v>
      </c>
      <c r="E46" s="649" t="s">
        <v>57</v>
      </c>
      <c r="F46" s="651">
        <v>1</v>
      </c>
      <c r="G46" s="652">
        <v>1.45</v>
      </c>
      <c r="H46" s="657"/>
      <c r="I46" s="652">
        <f t="shared" ref="I46:I47" si="11">ROUND(F46*G46,2)</f>
        <v>1.45</v>
      </c>
      <c r="J46" s="652"/>
      <c r="K46" s="652">
        <f t="shared" si="10"/>
        <v>1.45</v>
      </c>
      <c r="L46" s="652"/>
      <c r="M46" s="652"/>
      <c r="N46" s="652"/>
      <c r="O46" s="652"/>
      <c r="P46" s="706"/>
    </row>
    <row r="47" spans="1:16" s="648" customFormat="1" ht="12" x14ac:dyDescent="0.25">
      <c r="A47" s="705" t="s">
        <v>1142</v>
      </c>
      <c r="B47" s="649" t="s">
        <v>1240</v>
      </c>
      <c r="C47" s="649"/>
      <c r="D47" s="650" t="s">
        <v>1241</v>
      </c>
      <c r="E47" s="649" t="s">
        <v>56</v>
      </c>
      <c r="F47" s="651">
        <v>2</v>
      </c>
      <c r="G47" s="652">
        <v>1.6</v>
      </c>
      <c r="H47" s="657"/>
      <c r="I47" s="652">
        <f t="shared" si="11"/>
        <v>3.2</v>
      </c>
      <c r="J47" s="652"/>
      <c r="K47" s="652">
        <f t="shared" si="10"/>
        <v>3.2</v>
      </c>
      <c r="L47" s="652"/>
      <c r="M47" s="652"/>
      <c r="N47" s="652"/>
      <c r="O47" s="652"/>
      <c r="P47" s="706"/>
    </row>
    <row r="48" spans="1:16" s="648" customFormat="1" ht="12" x14ac:dyDescent="0.25">
      <c r="A48" s="705" t="s">
        <v>78</v>
      </c>
      <c r="B48" s="649">
        <v>2436</v>
      </c>
      <c r="C48" s="649"/>
      <c r="D48" s="650" t="s">
        <v>239</v>
      </c>
      <c r="E48" s="649" t="s">
        <v>42</v>
      </c>
      <c r="F48" s="651">
        <v>1.5</v>
      </c>
      <c r="G48" s="652">
        <v>13.2</v>
      </c>
      <c r="H48" s="657"/>
      <c r="I48" s="652"/>
      <c r="J48" s="652">
        <f>ROUND(F48*G48,2)</f>
        <v>19.8</v>
      </c>
      <c r="K48" s="652">
        <f t="shared" si="10"/>
        <v>19.8</v>
      </c>
      <c r="L48" s="652"/>
      <c r="M48" s="652"/>
      <c r="N48" s="652"/>
      <c r="O48" s="652"/>
      <c r="P48" s="706"/>
    </row>
    <row r="49" spans="1:16" s="648" customFormat="1" ht="12" x14ac:dyDescent="0.25">
      <c r="A49" s="705" t="s">
        <v>78</v>
      </c>
      <c r="B49" s="649">
        <v>247</v>
      </c>
      <c r="C49" s="649"/>
      <c r="D49" s="650" t="s">
        <v>1175</v>
      </c>
      <c r="E49" s="649" t="s">
        <v>42</v>
      </c>
      <c r="F49" s="651">
        <v>1.5</v>
      </c>
      <c r="G49" s="652">
        <v>9.52</v>
      </c>
      <c r="H49" s="657"/>
      <c r="I49" s="652"/>
      <c r="J49" s="652">
        <f>ROUND(F49*G49,2)</f>
        <v>14.28</v>
      </c>
      <c r="K49" s="652">
        <f t="shared" si="10"/>
        <v>14.28</v>
      </c>
      <c r="L49" s="652"/>
      <c r="M49" s="652"/>
      <c r="N49" s="652"/>
      <c r="O49" s="652"/>
      <c r="P49" s="706"/>
    </row>
    <row r="50" spans="1:16" x14ac:dyDescent="0.25">
      <c r="A50" s="697"/>
      <c r="B50" s="698"/>
      <c r="C50" s="698"/>
      <c r="D50" s="698"/>
      <c r="E50" s="698"/>
      <c r="F50" s="698"/>
      <c r="G50" s="698"/>
      <c r="H50" s="698"/>
      <c r="I50" s="698"/>
      <c r="J50" s="698"/>
      <c r="K50" s="698"/>
      <c r="L50" s="698"/>
      <c r="M50" s="698"/>
      <c r="N50" s="698"/>
      <c r="O50" s="698"/>
      <c r="P50" s="699"/>
    </row>
    <row r="51" spans="1:16" s="648" customFormat="1" ht="12" x14ac:dyDescent="0.25">
      <c r="A51" s="703"/>
      <c r="B51" s="644"/>
      <c r="C51" s="644" t="s">
        <v>1356</v>
      </c>
      <c r="D51" s="654" t="s">
        <v>1224</v>
      </c>
      <c r="E51" s="644" t="s">
        <v>57</v>
      </c>
      <c r="F51" s="646"/>
      <c r="G51" s="647"/>
      <c r="H51" s="647">
        <v>2</v>
      </c>
      <c r="I51" s="647">
        <f>SUM(I52:I54)</f>
        <v>9.7799999999999994</v>
      </c>
      <c r="J51" s="647">
        <f>SUM(J52:J54)</f>
        <v>6.59</v>
      </c>
      <c r="K51" s="647">
        <f>I51+J51</f>
        <v>16.369999999999997</v>
      </c>
      <c r="L51" s="647">
        <f>ROUND($H51*I51,2)</f>
        <v>19.559999999999999</v>
      </c>
      <c r="M51" s="647">
        <f>ROUND($H51*J51,2)</f>
        <v>13.18</v>
      </c>
      <c r="N51" s="647">
        <f>L51+M51</f>
        <v>32.739999999999995</v>
      </c>
      <c r="O51" s="647">
        <f>ROUND(N51*$P$5,2)</f>
        <v>8.8699999999999992</v>
      </c>
      <c r="P51" s="704">
        <f>N51+O51</f>
        <v>41.609999999999992</v>
      </c>
    </row>
    <row r="52" spans="1:16" s="648" customFormat="1" ht="24" x14ac:dyDescent="0.25">
      <c r="A52" s="705" t="s">
        <v>1142</v>
      </c>
      <c r="B52" s="649" t="s">
        <v>1220</v>
      </c>
      <c r="C52" s="649"/>
      <c r="D52" s="650" t="s">
        <v>1225</v>
      </c>
      <c r="E52" s="649" t="s">
        <v>57</v>
      </c>
      <c r="F52" s="651">
        <v>1</v>
      </c>
      <c r="G52" s="652">
        <f>6.74+3.04</f>
        <v>9.7800000000000011</v>
      </c>
      <c r="H52" s="657"/>
      <c r="I52" s="652">
        <f>ROUND(F52*G52,2)</f>
        <v>9.7799999999999994</v>
      </c>
      <c r="J52" s="652"/>
      <c r="K52" s="652">
        <f t="shared" ref="K52:K54" si="12">I52+J52</f>
        <v>9.7799999999999994</v>
      </c>
      <c r="L52" s="652"/>
      <c r="M52" s="652"/>
      <c r="N52" s="652"/>
      <c r="O52" s="652"/>
      <c r="P52" s="706"/>
    </row>
    <row r="53" spans="1:16" s="648" customFormat="1" ht="12" x14ac:dyDescent="0.25">
      <c r="A53" s="705" t="s">
        <v>78</v>
      </c>
      <c r="B53" s="649">
        <v>2436</v>
      </c>
      <c r="C53" s="649"/>
      <c r="D53" s="650" t="s">
        <v>239</v>
      </c>
      <c r="E53" s="649" t="s">
        <v>42</v>
      </c>
      <c r="F53" s="651">
        <v>0.28999999999999998</v>
      </c>
      <c r="G53" s="652">
        <v>13.2</v>
      </c>
      <c r="H53" s="657"/>
      <c r="I53" s="652"/>
      <c r="J53" s="652">
        <f>ROUND(F53*G53,2)</f>
        <v>3.83</v>
      </c>
      <c r="K53" s="652">
        <f t="shared" si="12"/>
        <v>3.83</v>
      </c>
      <c r="L53" s="652"/>
      <c r="M53" s="652"/>
      <c r="N53" s="652"/>
      <c r="O53" s="652"/>
      <c r="P53" s="706"/>
    </row>
    <row r="54" spans="1:16" s="648" customFormat="1" ht="12" x14ac:dyDescent="0.25">
      <c r="A54" s="705" t="s">
        <v>78</v>
      </c>
      <c r="B54" s="649">
        <v>247</v>
      </c>
      <c r="C54" s="649"/>
      <c r="D54" s="650" t="s">
        <v>1175</v>
      </c>
      <c r="E54" s="649" t="s">
        <v>42</v>
      </c>
      <c r="F54" s="651">
        <v>0.28999999999999998</v>
      </c>
      <c r="G54" s="652">
        <v>9.52</v>
      </c>
      <c r="H54" s="657"/>
      <c r="I54" s="652"/>
      <c r="J54" s="652">
        <f>ROUND(F54*G54,2)</f>
        <v>2.76</v>
      </c>
      <c r="K54" s="652">
        <f t="shared" si="12"/>
        <v>2.76</v>
      </c>
      <c r="L54" s="652"/>
      <c r="M54" s="652"/>
      <c r="N54" s="652"/>
      <c r="O54" s="652"/>
      <c r="P54" s="706"/>
    </row>
    <row r="55" spans="1:16" x14ac:dyDescent="0.25">
      <c r="A55" s="697"/>
      <c r="B55" s="698"/>
      <c r="C55" s="698"/>
      <c r="D55" s="698"/>
      <c r="E55" s="698"/>
      <c r="F55" s="698"/>
      <c r="G55" s="698"/>
      <c r="H55" s="698"/>
      <c r="I55" s="698"/>
      <c r="J55" s="698"/>
      <c r="K55" s="698"/>
      <c r="L55" s="698"/>
      <c r="M55" s="698"/>
      <c r="N55" s="698"/>
      <c r="O55" s="698"/>
      <c r="P55" s="699"/>
    </row>
    <row r="56" spans="1:16" s="648" customFormat="1" ht="12" x14ac:dyDescent="0.25">
      <c r="A56" s="703"/>
      <c r="B56" s="644"/>
      <c r="C56" s="644" t="s">
        <v>1357</v>
      </c>
      <c r="D56" s="654" t="s">
        <v>1226</v>
      </c>
      <c r="E56" s="644" t="s">
        <v>57</v>
      </c>
      <c r="F56" s="646"/>
      <c r="G56" s="647"/>
      <c r="H56" s="646">
        <v>17</v>
      </c>
      <c r="I56" s="647">
        <f>SUM(I57:I59)</f>
        <v>16.52</v>
      </c>
      <c r="J56" s="647">
        <f>SUM(J57:J59)</f>
        <v>8.4</v>
      </c>
      <c r="K56" s="647">
        <f>I56+J56</f>
        <v>24.92</v>
      </c>
      <c r="L56" s="647">
        <f>ROUND($H56*I56,2)</f>
        <v>280.83999999999997</v>
      </c>
      <c r="M56" s="647">
        <f>ROUND($H56*J56,2)</f>
        <v>142.80000000000001</v>
      </c>
      <c r="N56" s="647">
        <f>L56+M56</f>
        <v>423.64</v>
      </c>
      <c r="O56" s="647">
        <f>ROUND(N56*$P$5,2)</f>
        <v>114.72</v>
      </c>
      <c r="P56" s="704">
        <f>N56+O56</f>
        <v>538.36</v>
      </c>
    </row>
    <row r="57" spans="1:16" s="648" customFormat="1" ht="12" x14ac:dyDescent="0.25">
      <c r="A57" s="705" t="s">
        <v>1142</v>
      </c>
      <c r="B57" s="649" t="s">
        <v>1220</v>
      </c>
      <c r="C57" s="649"/>
      <c r="D57" s="650" t="s">
        <v>1227</v>
      </c>
      <c r="E57" s="649" t="s">
        <v>57</v>
      </c>
      <c r="F57" s="651">
        <v>1</v>
      </c>
      <c r="G57" s="652">
        <f>2*6.74+3.04</f>
        <v>16.52</v>
      </c>
      <c r="H57" s="651"/>
      <c r="I57" s="652">
        <f>ROUND(F57*G57,2)</f>
        <v>16.52</v>
      </c>
      <c r="J57" s="652"/>
      <c r="K57" s="652">
        <f t="shared" ref="K57:K59" si="13">I57+J57</f>
        <v>16.52</v>
      </c>
      <c r="L57" s="652"/>
      <c r="M57" s="652"/>
      <c r="N57" s="652"/>
      <c r="O57" s="652"/>
      <c r="P57" s="706"/>
    </row>
    <row r="58" spans="1:16" s="648" customFormat="1" ht="12" x14ac:dyDescent="0.25">
      <c r="A58" s="705" t="s">
        <v>78</v>
      </c>
      <c r="B58" s="649">
        <v>2436</v>
      </c>
      <c r="C58" s="649"/>
      <c r="D58" s="650" t="s">
        <v>239</v>
      </c>
      <c r="E58" s="649" t="s">
        <v>42</v>
      </c>
      <c r="F58" s="651">
        <v>0.37</v>
      </c>
      <c r="G58" s="652">
        <v>13.2</v>
      </c>
      <c r="H58" s="651"/>
      <c r="I58" s="652"/>
      <c r="J58" s="652">
        <f>ROUND(F58*G58,2)</f>
        <v>4.88</v>
      </c>
      <c r="K58" s="652">
        <f t="shared" si="13"/>
        <v>4.88</v>
      </c>
      <c r="L58" s="652"/>
      <c r="M58" s="652"/>
      <c r="N58" s="652"/>
      <c r="O58" s="652"/>
      <c r="P58" s="706"/>
    </row>
    <row r="59" spans="1:16" s="648" customFormat="1" ht="12" x14ac:dyDescent="0.25">
      <c r="A59" s="705" t="s">
        <v>78</v>
      </c>
      <c r="B59" s="649">
        <v>247</v>
      </c>
      <c r="C59" s="649"/>
      <c r="D59" s="650" t="s">
        <v>1175</v>
      </c>
      <c r="E59" s="649" t="s">
        <v>42</v>
      </c>
      <c r="F59" s="651">
        <v>0.37</v>
      </c>
      <c r="G59" s="652">
        <v>9.52</v>
      </c>
      <c r="H59" s="651"/>
      <c r="I59" s="652"/>
      <c r="J59" s="652">
        <f>ROUND(F59*G59,2)</f>
        <v>3.52</v>
      </c>
      <c r="K59" s="652">
        <f t="shared" si="13"/>
        <v>3.52</v>
      </c>
      <c r="L59" s="652"/>
      <c r="M59" s="652"/>
      <c r="N59" s="652"/>
      <c r="O59" s="652"/>
      <c r="P59" s="706"/>
    </row>
    <row r="60" spans="1:16" s="648" customFormat="1" ht="12" x14ac:dyDescent="0.25">
      <c r="A60" s="707"/>
      <c r="B60" s="667"/>
      <c r="C60" s="667"/>
      <c r="D60" s="668"/>
      <c r="E60" s="667"/>
      <c r="F60" s="669"/>
      <c r="G60" s="670"/>
      <c r="H60" s="669"/>
      <c r="I60" s="670"/>
      <c r="J60" s="670"/>
      <c r="K60" s="670"/>
      <c r="L60" s="670"/>
      <c r="M60" s="670"/>
      <c r="N60" s="670"/>
      <c r="O60" s="670"/>
      <c r="P60" s="709"/>
    </row>
    <row r="61" spans="1:16" s="648" customFormat="1" ht="12" x14ac:dyDescent="0.25">
      <c r="A61" s="703"/>
      <c r="B61" s="644"/>
      <c r="C61" s="644" t="s">
        <v>1358</v>
      </c>
      <c r="D61" s="654" t="s">
        <v>1288</v>
      </c>
      <c r="E61" s="644" t="s">
        <v>57</v>
      </c>
      <c r="F61" s="646"/>
      <c r="G61" s="647"/>
      <c r="H61" s="646">
        <v>5</v>
      </c>
      <c r="I61" s="647">
        <f>SUM(I62:I64)</f>
        <v>16.52</v>
      </c>
      <c r="J61" s="647">
        <f>SUM(J62:J64)</f>
        <v>8.4</v>
      </c>
      <c r="K61" s="647">
        <f>I61+J61</f>
        <v>24.92</v>
      </c>
      <c r="L61" s="647">
        <f>ROUND($H61*I61,2)</f>
        <v>82.6</v>
      </c>
      <c r="M61" s="647">
        <f>ROUND($H61*J61,2)</f>
        <v>42</v>
      </c>
      <c r="N61" s="647">
        <f>L61+M61</f>
        <v>124.6</v>
      </c>
      <c r="O61" s="647">
        <f>ROUND(N61*$P$5,2)</f>
        <v>33.74</v>
      </c>
      <c r="P61" s="704">
        <f>N61+O61</f>
        <v>158.34</v>
      </c>
    </row>
    <row r="62" spans="1:16" s="648" customFormat="1" ht="12" x14ac:dyDescent="0.25">
      <c r="A62" s="705" t="s">
        <v>1142</v>
      </c>
      <c r="B62" s="649" t="s">
        <v>1220</v>
      </c>
      <c r="C62" s="649"/>
      <c r="D62" s="650" t="s">
        <v>1289</v>
      </c>
      <c r="E62" s="649" t="s">
        <v>57</v>
      </c>
      <c r="F62" s="651">
        <v>1</v>
      </c>
      <c r="G62" s="652">
        <f>2*6.74+3.04</f>
        <v>16.52</v>
      </c>
      <c r="H62" s="651"/>
      <c r="I62" s="652">
        <f>ROUND(F62*G62,2)</f>
        <v>16.52</v>
      </c>
      <c r="J62" s="652"/>
      <c r="K62" s="652">
        <f t="shared" ref="K62:K64" si="14">I62+J62</f>
        <v>16.52</v>
      </c>
      <c r="L62" s="652"/>
      <c r="M62" s="652"/>
      <c r="N62" s="652"/>
      <c r="O62" s="652"/>
      <c r="P62" s="706"/>
    </row>
    <row r="63" spans="1:16" s="648" customFormat="1" ht="12" x14ac:dyDescent="0.25">
      <c r="A63" s="705" t="s">
        <v>78</v>
      </c>
      <c r="B63" s="649">
        <v>2436</v>
      </c>
      <c r="C63" s="649"/>
      <c r="D63" s="650" t="s">
        <v>239</v>
      </c>
      <c r="E63" s="649" t="s">
        <v>42</v>
      </c>
      <c r="F63" s="651">
        <v>0.37</v>
      </c>
      <c r="G63" s="652">
        <v>13.2</v>
      </c>
      <c r="H63" s="651"/>
      <c r="I63" s="652"/>
      <c r="J63" s="652">
        <f>ROUND(F63*G63,2)</f>
        <v>4.88</v>
      </c>
      <c r="K63" s="652">
        <f t="shared" si="14"/>
        <v>4.88</v>
      </c>
      <c r="L63" s="652"/>
      <c r="M63" s="652"/>
      <c r="N63" s="652"/>
      <c r="O63" s="652"/>
      <c r="P63" s="706"/>
    </row>
    <row r="64" spans="1:16" s="648" customFormat="1" ht="12" x14ac:dyDescent="0.25">
      <c r="A64" s="705" t="s">
        <v>78</v>
      </c>
      <c r="B64" s="649">
        <v>247</v>
      </c>
      <c r="C64" s="649"/>
      <c r="D64" s="650" t="s">
        <v>1175</v>
      </c>
      <c r="E64" s="649" t="s">
        <v>42</v>
      </c>
      <c r="F64" s="651">
        <v>0.37</v>
      </c>
      <c r="G64" s="652">
        <v>9.52</v>
      </c>
      <c r="H64" s="651"/>
      <c r="I64" s="652"/>
      <c r="J64" s="652">
        <f>ROUND(F64*G64,2)</f>
        <v>3.52</v>
      </c>
      <c r="K64" s="652">
        <f t="shared" si="14"/>
        <v>3.52</v>
      </c>
      <c r="L64" s="652"/>
      <c r="M64" s="652"/>
      <c r="N64" s="652"/>
      <c r="O64" s="652"/>
      <c r="P64" s="706"/>
    </row>
    <row r="65" spans="1:16" s="648" customFormat="1" ht="12" x14ac:dyDescent="0.25">
      <c r="A65" s="705"/>
      <c r="B65" s="649"/>
      <c r="C65" s="649"/>
      <c r="D65" s="650"/>
      <c r="E65" s="649"/>
      <c r="F65" s="651"/>
      <c r="G65" s="652"/>
      <c r="H65" s="651"/>
      <c r="I65" s="652"/>
      <c r="J65" s="652"/>
      <c r="K65" s="652"/>
      <c r="L65" s="652"/>
      <c r="M65" s="652"/>
      <c r="N65" s="652"/>
      <c r="O65" s="652"/>
      <c r="P65" s="706"/>
    </row>
    <row r="66" spans="1:16" s="648" customFormat="1" ht="12" x14ac:dyDescent="0.25">
      <c r="A66" s="703"/>
      <c r="B66" s="644"/>
      <c r="C66" s="644" t="s">
        <v>1359</v>
      </c>
      <c r="D66" s="654" t="s">
        <v>1219</v>
      </c>
      <c r="E66" s="644" t="s">
        <v>57</v>
      </c>
      <c r="F66" s="646"/>
      <c r="G66" s="647"/>
      <c r="H66" s="646">
        <v>1</v>
      </c>
      <c r="I66" s="647">
        <f>SUM(I67:I69)</f>
        <v>6.55</v>
      </c>
      <c r="J66" s="647">
        <f>SUM(J67:J69)</f>
        <v>4.7699999999999996</v>
      </c>
      <c r="K66" s="647">
        <f>I66+J66</f>
        <v>11.32</v>
      </c>
      <c r="L66" s="647">
        <f>ROUND($H66*I66,2)</f>
        <v>6.55</v>
      </c>
      <c r="M66" s="647">
        <f>ROUND($H66*J66,2)</f>
        <v>4.7699999999999996</v>
      </c>
      <c r="N66" s="647">
        <f>L66+M66</f>
        <v>11.32</v>
      </c>
      <c r="O66" s="647">
        <f>ROUND(N66*$P$5,2)</f>
        <v>3.07</v>
      </c>
      <c r="P66" s="704">
        <f>N66+O66</f>
        <v>14.39</v>
      </c>
    </row>
    <row r="67" spans="1:16" s="648" customFormat="1" ht="24" x14ac:dyDescent="0.25">
      <c r="A67" s="705" t="s">
        <v>1142</v>
      </c>
      <c r="B67" s="649" t="s">
        <v>1220</v>
      </c>
      <c r="C67" s="649"/>
      <c r="D67" s="650" t="s">
        <v>1221</v>
      </c>
      <c r="E67" s="649" t="s">
        <v>57</v>
      </c>
      <c r="F67" s="651">
        <v>1</v>
      </c>
      <c r="G67" s="652">
        <v>6.55</v>
      </c>
      <c r="H67" s="651"/>
      <c r="I67" s="652">
        <f>ROUND(F67*G67,2)</f>
        <v>6.55</v>
      </c>
      <c r="J67" s="652"/>
      <c r="K67" s="652">
        <f t="shared" ref="K67:K69" si="15">I67+J67</f>
        <v>6.55</v>
      </c>
      <c r="L67" s="652"/>
      <c r="M67" s="652"/>
      <c r="N67" s="652"/>
      <c r="O67" s="652"/>
      <c r="P67" s="706"/>
    </row>
    <row r="68" spans="1:16" s="648" customFormat="1" ht="12" x14ac:dyDescent="0.25">
      <c r="A68" s="705" t="s">
        <v>78</v>
      </c>
      <c r="B68" s="649">
        <v>2436</v>
      </c>
      <c r="C68" s="649"/>
      <c r="D68" s="650" t="s">
        <v>239</v>
      </c>
      <c r="E68" s="649" t="s">
        <v>42</v>
      </c>
      <c r="F68" s="651">
        <v>0.21</v>
      </c>
      <c r="G68" s="652">
        <v>13.2</v>
      </c>
      <c r="H68" s="651"/>
      <c r="I68" s="652"/>
      <c r="J68" s="652">
        <f>ROUND(F68*G68,2)</f>
        <v>2.77</v>
      </c>
      <c r="K68" s="652">
        <f t="shared" si="15"/>
        <v>2.77</v>
      </c>
      <c r="L68" s="652"/>
      <c r="M68" s="652"/>
      <c r="N68" s="652"/>
      <c r="O68" s="652"/>
      <c r="P68" s="706"/>
    </row>
    <row r="69" spans="1:16" s="648" customFormat="1" ht="12" x14ac:dyDescent="0.25">
      <c r="A69" s="705" t="s">
        <v>78</v>
      </c>
      <c r="B69" s="649">
        <v>247</v>
      </c>
      <c r="C69" s="649"/>
      <c r="D69" s="650" t="s">
        <v>1175</v>
      </c>
      <c r="E69" s="649" t="s">
        <v>42</v>
      </c>
      <c r="F69" s="651">
        <v>0.21</v>
      </c>
      <c r="G69" s="652">
        <v>9.52</v>
      </c>
      <c r="H69" s="651"/>
      <c r="I69" s="652"/>
      <c r="J69" s="652">
        <f>ROUND(F69*G69,2)</f>
        <v>2</v>
      </c>
      <c r="K69" s="652">
        <f t="shared" si="15"/>
        <v>2</v>
      </c>
      <c r="L69" s="652"/>
      <c r="M69" s="652"/>
      <c r="N69" s="652"/>
      <c r="O69" s="652"/>
      <c r="P69" s="706"/>
    </row>
    <row r="70" spans="1:16" s="648" customFormat="1" ht="12" x14ac:dyDescent="0.25">
      <c r="A70" s="707"/>
      <c r="B70" s="667"/>
      <c r="C70" s="667"/>
      <c r="D70" s="668"/>
      <c r="E70" s="667"/>
      <c r="F70" s="669"/>
      <c r="G70" s="670"/>
      <c r="H70" s="669"/>
      <c r="I70" s="670"/>
      <c r="J70" s="670"/>
      <c r="K70" s="670"/>
      <c r="L70" s="670"/>
      <c r="M70" s="670"/>
      <c r="N70" s="670"/>
      <c r="O70" s="670"/>
      <c r="P70" s="709"/>
    </row>
    <row r="71" spans="1:16" s="648" customFormat="1" ht="12" x14ac:dyDescent="0.25">
      <c r="A71" s="703"/>
      <c r="B71" s="644"/>
      <c r="C71" s="644" t="s">
        <v>1360</v>
      </c>
      <c r="D71" s="654" t="s">
        <v>1277</v>
      </c>
      <c r="E71" s="644" t="s">
        <v>57</v>
      </c>
      <c r="F71" s="646"/>
      <c r="G71" s="647"/>
      <c r="H71" s="646">
        <v>6</v>
      </c>
      <c r="I71" s="647">
        <f>SUM(I72:I74)</f>
        <v>6.55</v>
      </c>
      <c r="J71" s="647">
        <f>SUM(J72:J74)</f>
        <v>4.7699999999999996</v>
      </c>
      <c r="K71" s="647">
        <f>I71+J71</f>
        <v>11.32</v>
      </c>
      <c r="L71" s="647">
        <f>ROUND($H71*I71,2)</f>
        <v>39.299999999999997</v>
      </c>
      <c r="M71" s="647">
        <f>ROUND($H71*J71,2)</f>
        <v>28.62</v>
      </c>
      <c r="N71" s="647">
        <f>L71+M71</f>
        <v>67.92</v>
      </c>
      <c r="O71" s="647">
        <f>ROUND(N71*$P$5,2)</f>
        <v>18.39</v>
      </c>
      <c r="P71" s="704">
        <f>N71+O71</f>
        <v>86.31</v>
      </c>
    </row>
    <row r="72" spans="1:16" s="648" customFormat="1" ht="24" x14ac:dyDescent="0.25">
      <c r="A72" s="705" t="s">
        <v>1142</v>
      </c>
      <c r="B72" s="649" t="s">
        <v>1220</v>
      </c>
      <c r="C72" s="649"/>
      <c r="D72" s="650" t="s">
        <v>1221</v>
      </c>
      <c r="E72" s="649" t="s">
        <v>57</v>
      </c>
      <c r="F72" s="651">
        <v>1</v>
      </c>
      <c r="G72" s="652">
        <v>6.55</v>
      </c>
      <c r="H72" s="651"/>
      <c r="I72" s="652">
        <f>ROUND(F72*G72,2)</f>
        <v>6.55</v>
      </c>
      <c r="J72" s="652"/>
      <c r="K72" s="652">
        <f t="shared" ref="K72:K74" si="16">I72+J72</f>
        <v>6.55</v>
      </c>
      <c r="L72" s="652"/>
      <c r="M72" s="652"/>
      <c r="N72" s="652"/>
      <c r="O72" s="652"/>
      <c r="P72" s="706"/>
    </row>
    <row r="73" spans="1:16" s="648" customFormat="1" ht="12" x14ac:dyDescent="0.25">
      <c r="A73" s="705" t="s">
        <v>78</v>
      </c>
      <c r="B73" s="649">
        <v>2436</v>
      </c>
      <c r="C73" s="649"/>
      <c r="D73" s="650" t="s">
        <v>239</v>
      </c>
      <c r="E73" s="649" t="s">
        <v>42</v>
      </c>
      <c r="F73" s="651">
        <v>0.21</v>
      </c>
      <c r="G73" s="652">
        <v>13.2</v>
      </c>
      <c r="H73" s="651"/>
      <c r="I73" s="652"/>
      <c r="J73" s="652">
        <f>ROUND(F73*G73,2)</f>
        <v>2.77</v>
      </c>
      <c r="K73" s="652">
        <f t="shared" si="16"/>
        <v>2.77</v>
      </c>
      <c r="L73" s="652"/>
      <c r="M73" s="652"/>
      <c r="N73" s="652"/>
      <c r="O73" s="652"/>
      <c r="P73" s="706"/>
    </row>
    <row r="74" spans="1:16" s="648" customFormat="1" ht="12" x14ac:dyDescent="0.25">
      <c r="A74" s="705" t="s">
        <v>78</v>
      </c>
      <c r="B74" s="649">
        <v>247</v>
      </c>
      <c r="C74" s="649"/>
      <c r="D74" s="650" t="s">
        <v>1175</v>
      </c>
      <c r="E74" s="649" t="s">
        <v>42</v>
      </c>
      <c r="F74" s="651">
        <v>0.21</v>
      </c>
      <c r="G74" s="652">
        <v>9.52</v>
      </c>
      <c r="H74" s="651"/>
      <c r="I74" s="652"/>
      <c r="J74" s="652">
        <f>ROUND(F74*G74,2)</f>
        <v>2</v>
      </c>
      <c r="K74" s="652">
        <f t="shared" si="16"/>
        <v>2</v>
      </c>
      <c r="L74" s="652"/>
      <c r="M74" s="652"/>
      <c r="N74" s="652"/>
      <c r="O74" s="652"/>
      <c r="P74" s="706"/>
    </row>
    <row r="75" spans="1:16" x14ac:dyDescent="0.25">
      <c r="A75" s="697"/>
      <c r="B75" s="698"/>
      <c r="C75" s="698"/>
      <c r="D75" s="698"/>
      <c r="E75" s="698"/>
      <c r="F75" s="698"/>
      <c r="G75" s="698"/>
      <c r="H75" s="698"/>
      <c r="I75" s="698"/>
      <c r="J75" s="698"/>
      <c r="K75" s="698"/>
      <c r="L75" s="698"/>
      <c r="M75" s="698"/>
      <c r="N75" s="698"/>
      <c r="O75" s="698"/>
      <c r="P75" s="699"/>
    </row>
    <row r="76" spans="1:16" s="648" customFormat="1" ht="12" x14ac:dyDescent="0.25">
      <c r="A76" s="703"/>
      <c r="B76" s="644"/>
      <c r="C76" s="644" t="s">
        <v>1361</v>
      </c>
      <c r="D76" s="654" t="s">
        <v>1207</v>
      </c>
      <c r="E76" s="644" t="s">
        <v>56</v>
      </c>
      <c r="F76" s="646" t="s">
        <v>1208</v>
      </c>
      <c r="G76" s="647"/>
      <c r="H76" s="647">
        <v>425</v>
      </c>
      <c r="I76" s="647">
        <f>SUM(I77:I80)</f>
        <v>0.94000000000000006</v>
      </c>
      <c r="J76" s="647">
        <f>SUM(J77:J80)</f>
        <v>2.5</v>
      </c>
      <c r="K76" s="647">
        <f>I76+J76</f>
        <v>3.44</v>
      </c>
      <c r="L76" s="647">
        <f>ROUND($H76*I76,2)</f>
        <v>399.5</v>
      </c>
      <c r="M76" s="647">
        <f>ROUND($H76*J76,2)</f>
        <v>1062.5</v>
      </c>
      <c r="N76" s="647">
        <f>L76+M76</f>
        <v>1462</v>
      </c>
      <c r="O76" s="647">
        <f>ROUND(N76*$P$5,2)</f>
        <v>395.91</v>
      </c>
      <c r="P76" s="704">
        <f>N76+O76</f>
        <v>1857.91</v>
      </c>
    </row>
    <row r="77" spans="1:16" s="648" customFormat="1" ht="24" x14ac:dyDescent="0.25">
      <c r="A77" s="705" t="s">
        <v>79</v>
      </c>
      <c r="B77" s="649" t="s">
        <v>1209</v>
      </c>
      <c r="C77" s="649"/>
      <c r="D77" s="650" t="s">
        <v>1210</v>
      </c>
      <c r="E77" s="649" t="s">
        <v>56</v>
      </c>
      <c r="F77" s="651">
        <v>1.02</v>
      </c>
      <c r="G77" s="652">
        <v>0.9</v>
      </c>
      <c r="H77" s="652"/>
      <c r="I77" s="652">
        <f>ROUND(F77*G77,2)</f>
        <v>0.92</v>
      </c>
      <c r="J77" s="652"/>
      <c r="K77" s="652">
        <f t="shared" ref="K77:K80" si="17">I77+J77</f>
        <v>0.92</v>
      </c>
      <c r="L77" s="652"/>
      <c r="M77" s="652"/>
      <c r="N77" s="652"/>
      <c r="O77" s="652"/>
      <c r="P77" s="706"/>
    </row>
    <row r="78" spans="1:16" s="648" customFormat="1" ht="12" x14ac:dyDescent="0.25">
      <c r="A78" s="705" t="s">
        <v>78</v>
      </c>
      <c r="B78" s="649">
        <v>21127</v>
      </c>
      <c r="C78" s="649"/>
      <c r="D78" s="650" t="s">
        <v>1211</v>
      </c>
      <c r="E78" s="649" t="s">
        <v>56</v>
      </c>
      <c r="F78" s="651">
        <v>0.01</v>
      </c>
      <c r="G78" s="652">
        <v>1.77</v>
      </c>
      <c r="H78" s="652"/>
      <c r="I78" s="652">
        <f>ROUND(F78*G78,2)</f>
        <v>0.02</v>
      </c>
      <c r="J78" s="652"/>
      <c r="K78" s="652">
        <f t="shared" si="17"/>
        <v>0.02</v>
      </c>
      <c r="L78" s="652"/>
      <c r="M78" s="652"/>
      <c r="N78" s="652"/>
      <c r="O78" s="652"/>
      <c r="P78" s="706"/>
    </row>
    <row r="79" spans="1:16" s="648" customFormat="1" ht="12" x14ac:dyDescent="0.25">
      <c r="A79" s="705" t="s">
        <v>78</v>
      </c>
      <c r="B79" s="649">
        <v>2436</v>
      </c>
      <c r="C79" s="649"/>
      <c r="D79" s="650" t="s">
        <v>239</v>
      </c>
      <c r="E79" s="649" t="s">
        <v>42</v>
      </c>
      <c r="F79" s="651">
        <v>0.11</v>
      </c>
      <c r="G79" s="652">
        <v>13.2</v>
      </c>
      <c r="H79" s="652"/>
      <c r="I79" s="652"/>
      <c r="J79" s="652">
        <f>ROUND(F79*G79,2)</f>
        <v>1.45</v>
      </c>
      <c r="K79" s="652">
        <f t="shared" si="17"/>
        <v>1.45</v>
      </c>
      <c r="L79" s="652"/>
      <c r="M79" s="652"/>
      <c r="N79" s="652"/>
      <c r="O79" s="652"/>
      <c r="P79" s="706"/>
    </row>
    <row r="80" spans="1:16" s="648" customFormat="1" ht="12" x14ac:dyDescent="0.25">
      <c r="A80" s="705" t="s">
        <v>78</v>
      </c>
      <c r="B80" s="649">
        <v>247</v>
      </c>
      <c r="C80" s="649"/>
      <c r="D80" s="650" t="s">
        <v>1175</v>
      </c>
      <c r="E80" s="649" t="s">
        <v>42</v>
      </c>
      <c r="F80" s="651">
        <v>0.11</v>
      </c>
      <c r="G80" s="652">
        <v>9.52</v>
      </c>
      <c r="H80" s="652"/>
      <c r="I80" s="652"/>
      <c r="J80" s="652">
        <f>ROUND(F80*G80,2)</f>
        <v>1.05</v>
      </c>
      <c r="K80" s="652">
        <f t="shared" si="17"/>
        <v>1.05</v>
      </c>
      <c r="L80" s="652"/>
      <c r="M80" s="652"/>
      <c r="N80" s="652"/>
      <c r="O80" s="652"/>
      <c r="P80" s="706"/>
    </row>
    <row r="81" spans="1:16" s="648" customFormat="1" ht="12" x14ac:dyDescent="0.25">
      <c r="A81" s="707"/>
      <c r="B81" s="667"/>
      <c r="C81" s="667"/>
      <c r="D81" s="668"/>
      <c r="E81" s="667"/>
      <c r="F81" s="669"/>
      <c r="G81" s="670"/>
      <c r="H81" s="670"/>
      <c r="I81" s="670"/>
      <c r="J81" s="670"/>
      <c r="K81" s="670"/>
      <c r="L81" s="670"/>
      <c r="M81" s="670"/>
      <c r="N81" s="670"/>
      <c r="O81" s="670"/>
      <c r="P81" s="709"/>
    </row>
    <row r="82" spans="1:16" s="648" customFormat="1" ht="12" x14ac:dyDescent="0.25">
      <c r="A82" s="644"/>
      <c r="B82" s="644"/>
      <c r="C82" s="644" t="s">
        <v>1362</v>
      </c>
      <c r="D82" s="654" t="s">
        <v>1290</v>
      </c>
      <c r="E82" s="644" t="s">
        <v>57</v>
      </c>
      <c r="F82" s="646"/>
      <c r="G82" s="647"/>
      <c r="H82" s="646">
        <v>7</v>
      </c>
      <c r="I82" s="647">
        <f>SUM(I83:I86)</f>
        <v>23.3</v>
      </c>
      <c r="J82" s="647">
        <f>SUM(J83:J86)</f>
        <v>11.36</v>
      </c>
      <c r="K82" s="647">
        <f>I82+J82</f>
        <v>34.659999999999997</v>
      </c>
      <c r="L82" s="647">
        <f>ROUND($H82*I82,2)</f>
        <v>163.1</v>
      </c>
      <c r="M82" s="647">
        <f>ROUND($H82*J82,2)</f>
        <v>79.52</v>
      </c>
      <c r="N82" s="647">
        <f>L82+M82</f>
        <v>242.62</v>
      </c>
      <c r="O82" s="647">
        <f>ROUND(N82*$P$5,2)</f>
        <v>65.7</v>
      </c>
      <c r="P82" s="704">
        <f>N82+O82</f>
        <v>308.32</v>
      </c>
    </row>
    <row r="83" spans="1:16" s="648" customFormat="1" ht="36" x14ac:dyDescent="0.25">
      <c r="A83" s="649" t="s">
        <v>1142</v>
      </c>
      <c r="B83" s="649" t="s">
        <v>1291</v>
      </c>
      <c r="C83" s="649"/>
      <c r="D83" s="650" t="s">
        <v>1292</v>
      </c>
      <c r="E83" s="649" t="s">
        <v>57</v>
      </c>
      <c r="F83" s="651">
        <v>1</v>
      </c>
      <c r="G83" s="652">
        <v>23</v>
      </c>
      <c r="H83" s="651"/>
      <c r="I83" s="652">
        <f>ROUND(F83*G83,2)</f>
        <v>23</v>
      </c>
      <c r="J83" s="652"/>
      <c r="K83" s="652">
        <f>I83+J83</f>
        <v>23</v>
      </c>
      <c r="L83" s="652"/>
      <c r="M83" s="652"/>
      <c r="N83" s="652"/>
      <c r="O83" s="652"/>
      <c r="P83" s="652"/>
    </row>
    <row r="84" spans="1:16" s="648" customFormat="1" ht="12" x14ac:dyDescent="0.25">
      <c r="A84" s="649" t="s">
        <v>78</v>
      </c>
      <c r="B84" s="649">
        <v>11950</v>
      </c>
      <c r="C84" s="649"/>
      <c r="D84" s="650" t="s">
        <v>1293</v>
      </c>
      <c r="E84" s="649" t="s">
        <v>57</v>
      </c>
      <c r="F84" s="651">
        <v>2</v>
      </c>
      <c r="G84" s="652">
        <v>0.15</v>
      </c>
      <c r="H84" s="651"/>
      <c r="I84" s="652">
        <f>ROUND(F84*G84,2)</f>
        <v>0.3</v>
      </c>
      <c r="J84" s="652"/>
      <c r="K84" s="652">
        <f>I84+J84</f>
        <v>0.3</v>
      </c>
      <c r="L84" s="652"/>
      <c r="M84" s="652"/>
      <c r="N84" s="652"/>
      <c r="O84" s="652"/>
      <c r="P84" s="652"/>
    </row>
    <row r="85" spans="1:16" s="648" customFormat="1" ht="12" x14ac:dyDescent="0.25">
      <c r="A85" s="649" t="s">
        <v>78</v>
      </c>
      <c r="B85" s="649">
        <v>2436</v>
      </c>
      <c r="C85" s="649"/>
      <c r="D85" s="650" t="s">
        <v>239</v>
      </c>
      <c r="E85" s="649" t="s">
        <v>42</v>
      </c>
      <c r="F85" s="651">
        <v>0.5</v>
      </c>
      <c r="G85" s="652">
        <v>13.2</v>
      </c>
      <c r="H85" s="651"/>
      <c r="I85" s="652"/>
      <c r="J85" s="652">
        <f>ROUND(F85*G85,2)</f>
        <v>6.6</v>
      </c>
      <c r="K85" s="652">
        <f t="shared" ref="K85:K86" si="18">I85+J85</f>
        <v>6.6</v>
      </c>
      <c r="L85" s="652"/>
      <c r="M85" s="652"/>
      <c r="N85" s="652"/>
      <c r="O85" s="652"/>
      <c r="P85" s="652"/>
    </row>
    <row r="86" spans="1:16" s="648" customFormat="1" ht="12" x14ac:dyDescent="0.25">
      <c r="A86" s="649" t="s">
        <v>78</v>
      </c>
      <c r="B86" s="649">
        <v>247</v>
      </c>
      <c r="C86" s="649"/>
      <c r="D86" s="650" t="s">
        <v>1175</v>
      </c>
      <c r="E86" s="649" t="s">
        <v>42</v>
      </c>
      <c r="F86" s="651">
        <v>0.5</v>
      </c>
      <c r="G86" s="652">
        <v>9.52</v>
      </c>
      <c r="H86" s="651"/>
      <c r="I86" s="652"/>
      <c r="J86" s="652">
        <f>ROUND(F86*G86,2)</f>
        <v>4.76</v>
      </c>
      <c r="K86" s="652">
        <f t="shared" si="18"/>
        <v>4.76</v>
      </c>
      <c r="L86" s="652"/>
      <c r="M86" s="652"/>
      <c r="N86" s="652"/>
      <c r="O86" s="652"/>
      <c r="P86" s="652"/>
    </row>
    <row r="87" spans="1:16" s="648" customFormat="1" ht="12" x14ac:dyDescent="0.25">
      <c r="A87" s="649"/>
      <c r="B87" s="649"/>
      <c r="C87" s="649"/>
      <c r="D87" s="650"/>
      <c r="E87" s="649"/>
      <c r="F87" s="651"/>
      <c r="G87" s="652"/>
      <c r="H87" s="651"/>
      <c r="I87" s="652"/>
      <c r="J87" s="652"/>
      <c r="K87" s="652"/>
      <c r="L87" s="652"/>
      <c r="M87" s="652"/>
      <c r="N87" s="652"/>
      <c r="O87" s="652"/>
      <c r="P87" s="652"/>
    </row>
    <row r="88" spans="1:16" s="660" customFormat="1" ht="12" x14ac:dyDescent="0.25">
      <c r="A88" s="658"/>
      <c r="B88" s="658"/>
      <c r="C88" s="712" t="s">
        <v>1363</v>
      </c>
      <c r="D88" s="659" t="s">
        <v>1294</v>
      </c>
      <c r="E88" s="675" t="s">
        <v>56</v>
      </c>
      <c r="F88" s="676"/>
      <c r="G88" s="677"/>
      <c r="H88" s="676">
        <v>450</v>
      </c>
      <c r="I88" s="678">
        <f>SUM(I89:I91)</f>
        <v>2.23</v>
      </c>
      <c r="J88" s="678">
        <f>SUM(J89:J91)</f>
        <v>1.5299999999999998</v>
      </c>
      <c r="K88" s="713">
        <f>I88+J88</f>
        <v>3.76</v>
      </c>
      <c r="L88" s="647">
        <f>ROUND($H88*I88,2)</f>
        <v>1003.5</v>
      </c>
      <c r="M88" s="647">
        <f>ROUND($H88*J88,2)</f>
        <v>688.5</v>
      </c>
      <c r="N88" s="647">
        <f>L88+M88</f>
        <v>1692</v>
      </c>
      <c r="O88" s="647">
        <f>ROUND(N88*$P$5,2)</f>
        <v>458.19</v>
      </c>
      <c r="P88" s="704">
        <f>N88+O88</f>
        <v>2150.19</v>
      </c>
    </row>
    <row r="89" spans="1:16" s="660" customFormat="1" ht="36" x14ac:dyDescent="0.25">
      <c r="A89" s="661" t="s">
        <v>1295</v>
      </c>
      <c r="B89" s="714"/>
      <c r="C89" s="661"/>
      <c r="D89" s="715" t="s">
        <v>1296</v>
      </c>
      <c r="E89" s="661" t="s">
        <v>56</v>
      </c>
      <c r="F89" s="663">
        <v>1.02</v>
      </c>
      <c r="G89" s="666">
        <v>2.19</v>
      </c>
      <c r="H89" s="663"/>
      <c r="I89" s="716">
        <f>ROUND(G89*F89,2)</f>
        <v>2.23</v>
      </c>
      <c r="J89" s="663"/>
      <c r="K89" s="663"/>
      <c r="L89" s="663" t="s">
        <v>1208</v>
      </c>
      <c r="M89" s="663"/>
      <c r="N89" s="663"/>
      <c r="O89" s="663"/>
      <c r="P89" s="663"/>
    </row>
    <row r="90" spans="1:16" s="660" customFormat="1" ht="12" x14ac:dyDescent="0.25">
      <c r="A90" s="661" t="s">
        <v>78</v>
      </c>
      <c r="B90" s="661">
        <v>2439</v>
      </c>
      <c r="C90" s="661"/>
      <c r="D90" s="663" t="s">
        <v>1297</v>
      </c>
      <c r="E90" s="661" t="s">
        <v>42</v>
      </c>
      <c r="F90" s="663">
        <v>0.06</v>
      </c>
      <c r="G90" s="666">
        <v>16.010000000000002</v>
      </c>
      <c r="H90" s="663"/>
      <c r="I90" s="663"/>
      <c r="J90" s="716">
        <f>ROUND(F90*G90,2)</f>
        <v>0.96</v>
      </c>
      <c r="K90" s="663"/>
      <c r="L90" s="663"/>
      <c r="M90" s="663"/>
      <c r="N90" s="663"/>
      <c r="O90" s="663"/>
      <c r="P90" s="663"/>
    </row>
    <row r="91" spans="1:16" s="660" customFormat="1" ht="12" x14ac:dyDescent="0.25">
      <c r="A91" s="661" t="s">
        <v>78</v>
      </c>
      <c r="B91" s="661">
        <v>247</v>
      </c>
      <c r="C91" s="661"/>
      <c r="D91" s="663" t="s">
        <v>1175</v>
      </c>
      <c r="E91" s="661" t="s">
        <v>42</v>
      </c>
      <c r="F91" s="663">
        <v>0.06</v>
      </c>
      <c r="G91" s="666">
        <v>9.52</v>
      </c>
      <c r="H91" s="663"/>
      <c r="I91" s="663"/>
      <c r="J91" s="716">
        <f>ROUND(F91*G91,2)</f>
        <v>0.56999999999999995</v>
      </c>
      <c r="K91" s="663"/>
      <c r="L91" s="663"/>
      <c r="M91" s="663"/>
      <c r="N91" s="663"/>
      <c r="O91" s="663"/>
      <c r="P91" s="663"/>
    </row>
    <row r="92" spans="1:16" s="660" customFormat="1" ht="12" x14ac:dyDescent="0.25">
      <c r="A92" s="685"/>
      <c r="B92" s="685"/>
      <c r="C92" s="685"/>
      <c r="D92" s="671"/>
      <c r="E92" s="685"/>
      <c r="F92" s="671"/>
      <c r="G92" s="686"/>
      <c r="H92" s="671"/>
      <c r="I92" s="671"/>
      <c r="J92" s="717"/>
      <c r="K92" s="671"/>
      <c r="L92" s="671"/>
      <c r="M92" s="671"/>
      <c r="N92" s="671"/>
      <c r="O92" s="671"/>
      <c r="P92" s="671"/>
    </row>
    <row r="93" spans="1:16" s="660" customFormat="1" ht="12" x14ac:dyDescent="0.25">
      <c r="A93" s="658"/>
      <c r="B93" s="718"/>
      <c r="C93" s="712" t="s">
        <v>1364</v>
      </c>
      <c r="D93" s="659" t="s">
        <v>1298</v>
      </c>
      <c r="E93" s="675" t="s">
        <v>57</v>
      </c>
      <c r="F93" s="676"/>
      <c r="G93" s="677"/>
      <c r="H93" s="676">
        <v>10</v>
      </c>
      <c r="I93" s="678">
        <f>SUM(I94:I96)</f>
        <v>22.9</v>
      </c>
      <c r="J93" s="678">
        <f>SUM(J94:J96)</f>
        <v>3.0599999999999996</v>
      </c>
      <c r="K93" s="678">
        <f>I93+J93</f>
        <v>25.959999999999997</v>
      </c>
      <c r="L93" s="647">
        <f>ROUND($H93*I93,2)</f>
        <v>229</v>
      </c>
      <c r="M93" s="647">
        <f>ROUND($H93*J93,2)</f>
        <v>30.6</v>
      </c>
      <c r="N93" s="647">
        <f>L93+M93</f>
        <v>259.60000000000002</v>
      </c>
      <c r="O93" s="647">
        <f>ROUND(N93*$P$5,2)</f>
        <v>70.3</v>
      </c>
      <c r="P93" s="704">
        <f>N93+O93</f>
        <v>329.90000000000003</v>
      </c>
    </row>
    <row r="94" spans="1:16" s="660" customFormat="1" ht="12" x14ac:dyDescent="0.25">
      <c r="A94" s="661" t="s">
        <v>1295</v>
      </c>
      <c r="B94" s="714"/>
      <c r="C94" s="661"/>
      <c r="D94" s="715" t="s">
        <v>1298</v>
      </c>
      <c r="E94" s="661"/>
      <c r="F94" s="663">
        <v>1</v>
      </c>
      <c r="G94" s="719">
        <v>22.9</v>
      </c>
      <c r="H94" s="663"/>
      <c r="I94" s="681">
        <f>ROUND(F94*G94,2)</f>
        <v>22.9</v>
      </c>
      <c r="J94" s="681"/>
      <c r="K94" s="681"/>
      <c r="L94" s="681"/>
      <c r="M94" s="681"/>
      <c r="N94" s="681"/>
      <c r="O94" s="681"/>
      <c r="P94" s="681"/>
    </row>
    <row r="95" spans="1:16" s="660" customFormat="1" ht="12" x14ac:dyDescent="0.25">
      <c r="A95" s="661" t="s">
        <v>78</v>
      </c>
      <c r="B95" s="661">
        <v>2439</v>
      </c>
      <c r="C95" s="661"/>
      <c r="D95" s="663" t="s">
        <v>1297</v>
      </c>
      <c r="E95" s="661" t="s">
        <v>42</v>
      </c>
      <c r="F95" s="663">
        <v>0.12</v>
      </c>
      <c r="G95" s="666">
        <v>16.010000000000002</v>
      </c>
      <c r="H95" s="663"/>
      <c r="I95" s="681"/>
      <c r="J95" s="681">
        <f>ROUND(F95*G95,2)</f>
        <v>1.92</v>
      </c>
      <c r="K95" s="681"/>
      <c r="L95" s="681"/>
      <c r="M95" s="681"/>
      <c r="N95" s="681"/>
      <c r="O95" s="681"/>
      <c r="P95" s="681"/>
    </row>
    <row r="96" spans="1:16" s="660" customFormat="1" ht="12" x14ac:dyDescent="0.25">
      <c r="A96" s="661" t="s">
        <v>78</v>
      </c>
      <c r="B96" s="661">
        <v>247</v>
      </c>
      <c r="C96" s="661"/>
      <c r="D96" s="663" t="s">
        <v>1175</v>
      </c>
      <c r="E96" s="661" t="s">
        <v>42</v>
      </c>
      <c r="F96" s="663">
        <v>0.12</v>
      </c>
      <c r="G96" s="666">
        <v>9.52</v>
      </c>
      <c r="H96" s="663"/>
      <c r="I96" s="681"/>
      <c r="J96" s="681">
        <f>ROUND(F96*G96,2)</f>
        <v>1.1399999999999999</v>
      </c>
      <c r="K96" s="681"/>
      <c r="L96" s="681"/>
      <c r="M96" s="681"/>
      <c r="N96" s="681"/>
      <c r="O96" s="681"/>
      <c r="P96" s="681"/>
    </row>
    <row r="97" spans="1:256" s="660" customFormat="1" ht="12" x14ac:dyDescent="0.25">
      <c r="A97" s="661"/>
      <c r="B97" s="661"/>
      <c r="C97" s="661"/>
      <c r="D97" s="663"/>
      <c r="E97" s="661"/>
      <c r="F97" s="663"/>
      <c r="G97" s="666"/>
      <c r="H97" s="663"/>
      <c r="I97" s="681"/>
      <c r="J97" s="681"/>
      <c r="K97" s="681"/>
      <c r="L97" s="681"/>
      <c r="M97" s="681"/>
      <c r="N97" s="681"/>
      <c r="O97" s="681"/>
      <c r="P97" s="681"/>
    </row>
    <row r="98" spans="1:256" s="660" customFormat="1" ht="12" x14ac:dyDescent="0.25">
      <c r="A98" s="658"/>
      <c r="B98" s="658"/>
      <c r="C98" s="712" t="s">
        <v>1365</v>
      </c>
      <c r="D98" s="659" t="s">
        <v>1299</v>
      </c>
      <c r="E98" s="675" t="s">
        <v>57</v>
      </c>
      <c r="F98" s="676"/>
      <c r="G98" s="677"/>
      <c r="H98" s="676">
        <v>5</v>
      </c>
      <c r="I98" s="678">
        <f>SUM(I99:I100)</f>
        <v>5.29</v>
      </c>
      <c r="J98" s="678">
        <f>SUM(J99:J100)</f>
        <v>0.95</v>
      </c>
      <c r="K98" s="678">
        <f>I98+J98</f>
        <v>6.24</v>
      </c>
      <c r="L98" s="647">
        <f>ROUND($H98*I98,2)</f>
        <v>26.45</v>
      </c>
      <c r="M98" s="647">
        <f>ROUND($H98*J98,2)</f>
        <v>4.75</v>
      </c>
      <c r="N98" s="647">
        <f>L98+M98</f>
        <v>31.2</v>
      </c>
      <c r="O98" s="647">
        <f>ROUND(N98*$P$5,2)</f>
        <v>8.4499999999999993</v>
      </c>
      <c r="P98" s="704">
        <f>N98+O98</f>
        <v>39.65</v>
      </c>
      <c r="Q98" s="720"/>
      <c r="R98" s="720"/>
      <c r="S98" s="720"/>
      <c r="T98" s="720"/>
      <c r="U98" s="720"/>
      <c r="V98" s="720"/>
      <c r="W98" s="720"/>
      <c r="X98" s="720"/>
      <c r="Y98" s="720"/>
      <c r="Z98" s="720"/>
      <c r="AA98" s="720"/>
      <c r="AB98" s="720"/>
      <c r="AC98" s="720"/>
      <c r="AD98" s="720"/>
      <c r="AE98" s="720"/>
      <c r="AF98" s="720"/>
      <c r="AG98" s="720"/>
      <c r="AH98" s="720"/>
      <c r="AI98" s="720"/>
      <c r="AJ98" s="720"/>
      <c r="AK98" s="720"/>
      <c r="AL98" s="720"/>
      <c r="AM98" s="720"/>
      <c r="AN98" s="720"/>
      <c r="AO98" s="720"/>
      <c r="AP98" s="720"/>
      <c r="AQ98" s="720"/>
      <c r="AR98" s="720"/>
      <c r="AS98" s="720"/>
      <c r="AT98" s="720"/>
      <c r="AU98" s="720"/>
      <c r="AV98" s="720"/>
      <c r="AW98" s="720"/>
      <c r="AX98" s="720"/>
      <c r="AY98" s="720"/>
      <c r="AZ98" s="720"/>
      <c r="BA98" s="720"/>
      <c r="BB98" s="720"/>
      <c r="BC98" s="720"/>
      <c r="BD98" s="720"/>
      <c r="BE98" s="720"/>
      <c r="BF98" s="720"/>
      <c r="BG98" s="720"/>
      <c r="BH98" s="720"/>
      <c r="BI98" s="720"/>
      <c r="BJ98" s="720"/>
      <c r="BK98" s="720"/>
      <c r="BL98" s="720"/>
      <c r="BM98" s="720"/>
      <c r="BN98" s="720"/>
      <c r="BO98" s="720"/>
      <c r="BP98" s="720"/>
      <c r="BQ98" s="720"/>
      <c r="BR98" s="720"/>
      <c r="BS98" s="720"/>
      <c r="BT98" s="720"/>
      <c r="BU98" s="720"/>
      <c r="BV98" s="720"/>
      <c r="BW98" s="720"/>
      <c r="BX98" s="720"/>
      <c r="BY98" s="720"/>
      <c r="BZ98" s="720"/>
      <c r="CA98" s="720"/>
      <c r="CB98" s="720"/>
      <c r="CC98" s="720"/>
      <c r="CD98" s="720"/>
      <c r="CE98" s="720"/>
      <c r="CF98" s="720"/>
      <c r="CG98" s="720"/>
      <c r="CH98" s="720"/>
      <c r="CI98" s="720"/>
      <c r="CJ98" s="720"/>
      <c r="CK98" s="720"/>
      <c r="CL98" s="720"/>
      <c r="CM98" s="720"/>
      <c r="CN98" s="720"/>
      <c r="CO98" s="720"/>
      <c r="CP98" s="720"/>
      <c r="CQ98" s="720"/>
      <c r="CR98" s="720"/>
      <c r="CS98" s="720"/>
      <c r="CT98" s="720"/>
      <c r="CU98" s="720"/>
      <c r="CV98" s="720"/>
      <c r="CW98" s="720"/>
      <c r="CX98" s="720"/>
      <c r="CY98" s="720"/>
      <c r="CZ98" s="720"/>
      <c r="DA98" s="720"/>
      <c r="DB98" s="720"/>
      <c r="DC98" s="720"/>
      <c r="DD98" s="720"/>
      <c r="DE98" s="720"/>
      <c r="DF98" s="720"/>
      <c r="DG98" s="720"/>
      <c r="DH98" s="720"/>
      <c r="DI98" s="720"/>
      <c r="DJ98" s="720"/>
      <c r="DK98" s="720"/>
      <c r="DL98" s="720"/>
      <c r="DM98" s="720"/>
      <c r="DN98" s="720"/>
      <c r="DO98" s="720"/>
      <c r="DP98" s="720"/>
      <c r="DQ98" s="720"/>
      <c r="DR98" s="720"/>
      <c r="DS98" s="720"/>
      <c r="DT98" s="720"/>
      <c r="DU98" s="720"/>
      <c r="DV98" s="720"/>
      <c r="DW98" s="720"/>
      <c r="DX98" s="720"/>
      <c r="DY98" s="720"/>
      <c r="DZ98" s="720"/>
      <c r="EA98" s="720"/>
      <c r="EB98" s="720"/>
      <c r="EC98" s="720"/>
      <c r="ED98" s="720"/>
      <c r="EE98" s="720"/>
      <c r="EF98" s="720"/>
      <c r="EG98" s="720"/>
      <c r="EH98" s="720"/>
      <c r="EI98" s="720"/>
      <c r="EJ98" s="720"/>
      <c r="EK98" s="720"/>
      <c r="EL98" s="720"/>
      <c r="EM98" s="720"/>
      <c r="EN98" s="720"/>
      <c r="EO98" s="720"/>
      <c r="EP98" s="720"/>
      <c r="EQ98" s="720"/>
      <c r="ER98" s="720"/>
      <c r="ES98" s="720"/>
      <c r="ET98" s="720"/>
      <c r="EU98" s="720"/>
      <c r="EV98" s="720"/>
      <c r="EW98" s="720"/>
      <c r="EX98" s="720"/>
      <c r="EY98" s="720"/>
      <c r="EZ98" s="720"/>
      <c r="FA98" s="720"/>
      <c r="FB98" s="720"/>
      <c r="FC98" s="720"/>
      <c r="FD98" s="720"/>
      <c r="FE98" s="720"/>
      <c r="FF98" s="720"/>
      <c r="FG98" s="720"/>
      <c r="FH98" s="720"/>
      <c r="FI98" s="720"/>
      <c r="FJ98" s="720"/>
      <c r="FK98" s="720"/>
      <c r="FL98" s="720"/>
      <c r="FM98" s="720"/>
      <c r="FN98" s="720"/>
      <c r="FO98" s="720"/>
      <c r="FP98" s="720"/>
      <c r="FQ98" s="720"/>
      <c r="FR98" s="720"/>
      <c r="FS98" s="720"/>
      <c r="FT98" s="720"/>
      <c r="FU98" s="720"/>
      <c r="FV98" s="720"/>
      <c r="FW98" s="720"/>
      <c r="FX98" s="720"/>
      <c r="FY98" s="720"/>
      <c r="FZ98" s="720"/>
      <c r="GA98" s="720"/>
      <c r="GB98" s="720"/>
      <c r="GC98" s="720"/>
      <c r="GD98" s="720"/>
      <c r="GE98" s="720"/>
      <c r="GF98" s="720"/>
      <c r="GG98" s="720"/>
      <c r="GH98" s="720"/>
      <c r="GI98" s="720"/>
      <c r="GJ98" s="720"/>
      <c r="GK98" s="720"/>
      <c r="GL98" s="720"/>
      <c r="GM98" s="720"/>
      <c r="GN98" s="720"/>
      <c r="GO98" s="720"/>
      <c r="GP98" s="720"/>
      <c r="GQ98" s="720"/>
      <c r="GR98" s="720"/>
      <c r="GS98" s="720"/>
      <c r="GT98" s="720"/>
      <c r="GU98" s="720"/>
      <c r="GV98" s="720"/>
      <c r="GW98" s="720"/>
      <c r="GX98" s="720"/>
      <c r="GY98" s="720"/>
      <c r="GZ98" s="720"/>
      <c r="HA98" s="720"/>
      <c r="HB98" s="720"/>
      <c r="HC98" s="720"/>
      <c r="HD98" s="720"/>
      <c r="HE98" s="720"/>
      <c r="HF98" s="720"/>
      <c r="HG98" s="720"/>
      <c r="HH98" s="720"/>
      <c r="HI98" s="720"/>
      <c r="HJ98" s="720"/>
      <c r="HK98" s="720"/>
      <c r="HL98" s="720"/>
      <c r="HM98" s="720"/>
      <c r="HN98" s="720"/>
      <c r="HO98" s="720"/>
      <c r="HP98" s="720"/>
      <c r="HQ98" s="720"/>
      <c r="HR98" s="720"/>
      <c r="HS98" s="720"/>
      <c r="HT98" s="720"/>
      <c r="HU98" s="720"/>
      <c r="HV98" s="720"/>
      <c r="HW98" s="720"/>
      <c r="HX98" s="720"/>
      <c r="HY98" s="720"/>
      <c r="HZ98" s="720"/>
      <c r="IA98" s="720"/>
      <c r="IB98" s="720"/>
      <c r="IC98" s="720"/>
      <c r="ID98" s="720"/>
      <c r="IE98" s="720"/>
      <c r="IF98" s="720"/>
      <c r="IG98" s="720"/>
      <c r="IH98" s="720"/>
      <c r="II98" s="720"/>
      <c r="IJ98" s="720"/>
      <c r="IK98" s="720"/>
      <c r="IL98" s="720"/>
      <c r="IM98" s="720"/>
      <c r="IN98" s="720"/>
      <c r="IO98" s="720"/>
      <c r="IP98" s="720"/>
      <c r="IQ98" s="720"/>
      <c r="IR98" s="720"/>
      <c r="IS98" s="720"/>
      <c r="IT98" s="720"/>
      <c r="IU98" s="720"/>
      <c r="IV98" s="720"/>
    </row>
    <row r="99" spans="1:256" s="660" customFormat="1" ht="12" x14ac:dyDescent="0.25">
      <c r="A99" s="661" t="s">
        <v>1295</v>
      </c>
      <c r="B99" s="714"/>
      <c r="C99" s="661"/>
      <c r="D99" s="715" t="s">
        <v>1300</v>
      </c>
      <c r="E99" s="661"/>
      <c r="F99" s="663">
        <v>1</v>
      </c>
      <c r="G99" s="666">
        <v>5.29</v>
      </c>
      <c r="H99" s="663"/>
      <c r="I99" s="681">
        <f>ROUND(F99*G99,2)</f>
        <v>5.29</v>
      </c>
      <c r="J99" s="681"/>
      <c r="K99" s="663"/>
      <c r="L99" s="663"/>
      <c r="M99" s="663"/>
      <c r="N99" s="663"/>
      <c r="O99" s="663"/>
      <c r="P99" s="663"/>
    </row>
    <row r="100" spans="1:256" s="721" customFormat="1" ht="12" x14ac:dyDescent="0.25">
      <c r="A100" s="661" t="s">
        <v>78</v>
      </c>
      <c r="B100" s="661">
        <v>247</v>
      </c>
      <c r="C100" s="661"/>
      <c r="D100" s="663" t="s">
        <v>1175</v>
      </c>
      <c r="E100" s="661" t="s">
        <v>42</v>
      </c>
      <c r="F100" s="663">
        <v>0.1</v>
      </c>
      <c r="G100" s="666">
        <v>9.52</v>
      </c>
      <c r="H100" s="663"/>
      <c r="I100" s="681"/>
      <c r="J100" s="681">
        <f>ROUND(F100*G100,2)</f>
        <v>0.95</v>
      </c>
      <c r="K100" s="663"/>
      <c r="L100" s="663"/>
      <c r="M100" s="663"/>
      <c r="N100" s="663"/>
      <c r="O100" s="663"/>
      <c r="P100" s="663"/>
    </row>
    <row r="101" spans="1:256" s="660" customFormat="1" ht="12.75" thickBot="1" x14ac:dyDescent="0.3">
      <c r="A101" s="685"/>
      <c r="B101" s="685"/>
      <c r="C101" s="685"/>
      <c r="D101" s="671"/>
      <c r="E101" s="685"/>
      <c r="F101" s="671"/>
      <c r="G101" s="686"/>
      <c r="H101" s="671"/>
      <c r="I101" s="688"/>
      <c r="J101" s="688"/>
      <c r="K101" s="688"/>
      <c r="L101" s="688"/>
      <c r="M101" s="688"/>
      <c r="N101" s="688"/>
      <c r="O101" s="688"/>
      <c r="P101" s="688"/>
    </row>
    <row r="102" spans="1:256" ht="15.75" thickBot="1" x14ac:dyDescent="0.3">
      <c r="A102" s="690"/>
      <c r="B102" s="691"/>
      <c r="C102" s="691"/>
      <c r="D102" s="692" t="s">
        <v>109</v>
      </c>
      <c r="E102" s="691"/>
      <c r="F102" s="691"/>
      <c r="G102" s="691"/>
      <c r="H102" s="691"/>
      <c r="I102" s="691"/>
      <c r="J102" s="691"/>
      <c r="K102" s="693"/>
      <c r="L102" s="694">
        <f>SUM(L14:L101)</f>
        <v>12326.44</v>
      </c>
      <c r="M102" s="694">
        <f t="shared" ref="M102:P102" si="19">SUM(M14:M101)</f>
        <v>3478.46</v>
      </c>
      <c r="N102" s="694">
        <f t="shared" si="19"/>
        <v>15804.9</v>
      </c>
      <c r="O102" s="694">
        <f t="shared" si="19"/>
        <v>4279.9699999999993</v>
      </c>
      <c r="P102" s="694">
        <f t="shared" si="19"/>
        <v>20084.870000000003</v>
      </c>
    </row>
  </sheetData>
  <mergeCells count="18">
    <mergeCell ref="B6:N6"/>
    <mergeCell ref="A1:P1"/>
    <mergeCell ref="A2:P2"/>
    <mergeCell ref="A3:P3"/>
    <mergeCell ref="A4:P4"/>
    <mergeCell ref="B5:N5"/>
    <mergeCell ref="L9:N9"/>
    <mergeCell ref="P9:P10"/>
    <mergeCell ref="B7:N7"/>
    <mergeCell ref="A9:A10"/>
    <mergeCell ref="B9:B10"/>
    <mergeCell ref="C9:C10"/>
    <mergeCell ref="D9:D10"/>
    <mergeCell ref="E9:E10"/>
    <mergeCell ref="F9:F10"/>
    <mergeCell ref="G9:G10"/>
    <mergeCell ref="H9:H10"/>
    <mergeCell ref="I9:K9"/>
  </mergeCells>
  <pageMargins left="0.51181102362204722" right="0.51181102362204722" top="0.78740157480314965" bottom="0.78740157480314965" header="0.31496062992125984" footer="0.31496062992125984"/>
  <pageSetup paperSize="9" scale="55" fitToHeight="1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1"/>
  <sheetViews>
    <sheetView topLeftCell="A23" zoomScale="115" zoomScaleNormal="115" workbookViewId="0">
      <selection activeCell="C36" sqref="C36"/>
    </sheetView>
  </sheetViews>
  <sheetFormatPr defaultRowHeight="15" x14ac:dyDescent="0.25"/>
  <cols>
    <col min="1" max="1" width="22.5703125" customWidth="1"/>
    <col min="2" max="3" width="20.7109375" customWidth="1"/>
    <col min="4" max="4" width="20.42578125" customWidth="1"/>
    <col min="5" max="5" width="22.28515625" customWidth="1"/>
    <col min="6" max="6" width="17.28515625" customWidth="1"/>
  </cols>
  <sheetData>
    <row r="1" spans="1:4" ht="18.75" x14ac:dyDescent="0.3">
      <c r="A1" s="857" t="s">
        <v>936</v>
      </c>
      <c r="B1" s="858"/>
      <c r="C1" s="858"/>
      <c r="D1" s="859"/>
    </row>
    <row r="2" spans="1:4" ht="8.25" customHeight="1" x14ac:dyDescent="0.25"/>
    <row r="3" spans="1:4" x14ac:dyDescent="0.25">
      <c r="A3" s="569" t="s">
        <v>830</v>
      </c>
      <c r="B3" s="569" t="s">
        <v>832</v>
      </c>
      <c r="C3" s="569" t="s">
        <v>833</v>
      </c>
      <c r="D3" s="569" t="s">
        <v>834</v>
      </c>
    </row>
    <row r="4" spans="1:4" ht="45" x14ac:dyDescent="0.25">
      <c r="A4" s="572" t="s">
        <v>831</v>
      </c>
      <c r="B4" s="574" t="s">
        <v>835</v>
      </c>
      <c r="C4" s="237" t="s">
        <v>836</v>
      </c>
      <c r="D4" s="237" t="s">
        <v>837</v>
      </c>
    </row>
    <row r="5" spans="1:4" ht="30" x14ac:dyDescent="0.25">
      <c r="A5" s="572" t="s">
        <v>838</v>
      </c>
      <c r="B5" s="574" t="s">
        <v>839</v>
      </c>
      <c r="C5" s="237" t="s">
        <v>840</v>
      </c>
      <c r="D5" s="237" t="s">
        <v>841</v>
      </c>
    </row>
    <row r="6" spans="1:4" ht="30" x14ac:dyDescent="0.25">
      <c r="A6" s="572" t="s">
        <v>842</v>
      </c>
      <c r="B6" s="237" t="s">
        <v>845</v>
      </c>
      <c r="C6" s="237" t="s">
        <v>843</v>
      </c>
      <c r="D6" s="574" t="s">
        <v>844</v>
      </c>
    </row>
    <row r="7" spans="1:4" ht="30" x14ac:dyDescent="0.25">
      <c r="A7" s="572" t="s">
        <v>846</v>
      </c>
      <c r="B7" s="237" t="s">
        <v>847</v>
      </c>
      <c r="C7" s="237" t="s">
        <v>848</v>
      </c>
      <c r="D7" s="574" t="s">
        <v>849</v>
      </c>
    </row>
    <row r="8" spans="1:4" ht="30" x14ac:dyDescent="0.25">
      <c r="A8" s="572" t="s">
        <v>850</v>
      </c>
      <c r="B8" s="237" t="s">
        <v>851</v>
      </c>
      <c r="C8" s="574" t="s">
        <v>852</v>
      </c>
      <c r="D8" s="237" t="s">
        <v>853</v>
      </c>
    </row>
    <row r="9" spans="1:4" ht="30" x14ac:dyDescent="0.25">
      <c r="A9" s="572" t="s">
        <v>857</v>
      </c>
      <c r="B9" s="237" t="s">
        <v>856</v>
      </c>
      <c r="C9" s="237" t="s">
        <v>854</v>
      </c>
      <c r="D9" s="574" t="s">
        <v>855</v>
      </c>
    </row>
    <row r="10" spans="1:4" ht="30" x14ac:dyDescent="0.25">
      <c r="A10" s="572" t="s">
        <v>858</v>
      </c>
      <c r="B10" s="237" t="s">
        <v>859</v>
      </c>
      <c r="C10" s="237" t="s">
        <v>860</v>
      </c>
      <c r="D10" s="574" t="s">
        <v>861</v>
      </c>
    </row>
    <row r="11" spans="1:4" ht="30" x14ac:dyDescent="0.25">
      <c r="A11" s="572" t="s">
        <v>862</v>
      </c>
      <c r="B11" s="237" t="s">
        <v>864</v>
      </c>
      <c r="C11" s="237" t="s">
        <v>863</v>
      </c>
      <c r="D11" s="574" t="s">
        <v>865</v>
      </c>
    </row>
    <row r="12" spans="1:4" ht="30" x14ac:dyDescent="0.25">
      <c r="A12" s="572" t="s">
        <v>869</v>
      </c>
      <c r="B12" s="574" t="s">
        <v>867</v>
      </c>
      <c r="C12" s="237" t="s">
        <v>866</v>
      </c>
      <c r="D12" s="237" t="s">
        <v>868</v>
      </c>
    </row>
    <row r="13" spans="1:4" ht="30" x14ac:dyDescent="0.25">
      <c r="A13" s="572" t="s">
        <v>870</v>
      </c>
      <c r="B13" s="237" t="s">
        <v>871</v>
      </c>
      <c r="C13" s="237" t="s">
        <v>872</v>
      </c>
      <c r="D13" s="574" t="s">
        <v>873</v>
      </c>
    </row>
    <row r="14" spans="1:4" ht="30" x14ac:dyDescent="0.25">
      <c r="A14" s="572" t="s">
        <v>874</v>
      </c>
      <c r="B14" s="237" t="s">
        <v>876</v>
      </c>
      <c r="C14" s="574" t="s">
        <v>877</v>
      </c>
      <c r="D14" s="237" t="s">
        <v>875</v>
      </c>
    </row>
    <row r="15" spans="1:4" ht="98.25" customHeight="1" x14ac:dyDescent="0.25">
      <c r="A15" s="572" t="s">
        <v>878</v>
      </c>
      <c r="B15" s="574" t="s">
        <v>937</v>
      </c>
      <c r="C15" s="573" t="s">
        <v>879</v>
      </c>
      <c r="D15" s="573" t="s">
        <v>883</v>
      </c>
    </row>
    <row r="16" spans="1:4" ht="30" x14ac:dyDescent="0.25">
      <c r="A16" s="572" t="s">
        <v>880</v>
      </c>
      <c r="B16" s="237" t="s">
        <v>881</v>
      </c>
      <c r="C16" s="237" t="s">
        <v>882</v>
      </c>
      <c r="D16" s="574" t="s">
        <v>884</v>
      </c>
    </row>
    <row r="17" spans="1:6" ht="30" x14ac:dyDescent="0.25">
      <c r="A17" s="572" t="s">
        <v>888</v>
      </c>
      <c r="B17" s="574" t="s">
        <v>885</v>
      </c>
      <c r="C17" s="237" t="s">
        <v>886</v>
      </c>
      <c r="D17" s="237" t="s">
        <v>887</v>
      </c>
    </row>
    <row r="18" spans="1:6" ht="30" x14ac:dyDescent="0.25">
      <c r="A18" s="572" t="s">
        <v>889</v>
      </c>
      <c r="B18" s="574" t="s">
        <v>890</v>
      </c>
      <c r="C18" s="237" t="s">
        <v>891</v>
      </c>
      <c r="D18" s="237" t="s">
        <v>892</v>
      </c>
    </row>
    <row r="19" spans="1:6" ht="30" x14ac:dyDescent="0.25">
      <c r="A19" s="572" t="s">
        <v>893</v>
      </c>
      <c r="B19" s="237" t="s">
        <v>894</v>
      </c>
      <c r="C19" s="574" t="s">
        <v>895</v>
      </c>
      <c r="D19" s="237" t="s">
        <v>896</v>
      </c>
    </row>
    <row r="20" spans="1:6" ht="30" x14ac:dyDescent="0.25">
      <c r="A20" s="572" t="s">
        <v>897</v>
      </c>
      <c r="B20" s="574" t="s">
        <v>898</v>
      </c>
      <c r="C20" s="237" t="s">
        <v>899</v>
      </c>
      <c r="D20" s="237" t="s">
        <v>900</v>
      </c>
    </row>
    <row r="21" spans="1:6" ht="30" x14ac:dyDescent="0.25">
      <c r="A21" s="572" t="s">
        <v>901</v>
      </c>
      <c r="B21" s="237" t="s">
        <v>902</v>
      </c>
      <c r="C21" s="574" t="s">
        <v>903</v>
      </c>
      <c r="D21" s="237" t="s">
        <v>904</v>
      </c>
    </row>
    <row r="22" spans="1:6" ht="30" x14ac:dyDescent="0.25">
      <c r="A22" s="572" t="s">
        <v>905</v>
      </c>
      <c r="B22" s="574" t="s">
        <v>906</v>
      </c>
      <c r="C22" s="237" t="s">
        <v>907</v>
      </c>
      <c r="D22" s="237" t="s">
        <v>908</v>
      </c>
      <c r="E22" s="237" t="s">
        <v>909</v>
      </c>
    </row>
    <row r="23" spans="1:6" ht="30" x14ac:dyDescent="0.25">
      <c r="A23" s="572" t="s">
        <v>910</v>
      </c>
      <c r="B23" s="237" t="s">
        <v>911</v>
      </c>
      <c r="C23" s="574" t="s">
        <v>912</v>
      </c>
      <c r="D23" s="237" t="s">
        <v>913</v>
      </c>
      <c r="E23" s="237" t="s">
        <v>914</v>
      </c>
      <c r="F23" s="237" t="s">
        <v>915</v>
      </c>
    </row>
    <row r="24" spans="1:6" ht="30" x14ac:dyDescent="0.25">
      <c r="A24" s="572" t="s">
        <v>944</v>
      </c>
      <c r="B24" s="237" t="s">
        <v>945</v>
      </c>
      <c r="C24" s="574" t="s">
        <v>946</v>
      </c>
      <c r="D24" s="237" t="s">
        <v>947</v>
      </c>
    </row>
    <row r="25" spans="1:6" ht="30" x14ac:dyDescent="0.25">
      <c r="A25" s="572" t="s">
        <v>940</v>
      </c>
      <c r="B25" s="237" t="s">
        <v>941</v>
      </c>
      <c r="C25" s="574" t="s">
        <v>942</v>
      </c>
      <c r="D25" s="237" t="s">
        <v>943</v>
      </c>
    </row>
    <row r="26" spans="1:6" ht="30" x14ac:dyDescent="0.25">
      <c r="A26" s="572" t="s">
        <v>916</v>
      </c>
      <c r="B26" s="574" t="s">
        <v>917</v>
      </c>
      <c r="C26" s="237" t="s">
        <v>918</v>
      </c>
      <c r="D26" s="237" t="s">
        <v>919</v>
      </c>
    </row>
    <row r="27" spans="1:6" ht="30" x14ac:dyDescent="0.25">
      <c r="A27" s="572" t="s">
        <v>920</v>
      </c>
      <c r="B27" s="237" t="s">
        <v>921</v>
      </c>
      <c r="C27" s="237" t="s">
        <v>922</v>
      </c>
      <c r="D27" s="574" t="s">
        <v>923</v>
      </c>
    </row>
    <row r="28" spans="1:6" ht="30" x14ac:dyDescent="0.25">
      <c r="A28" s="572" t="s">
        <v>924</v>
      </c>
      <c r="B28" s="574" t="s">
        <v>925</v>
      </c>
      <c r="C28" s="237" t="s">
        <v>926</v>
      </c>
      <c r="D28" s="237" t="s">
        <v>927</v>
      </c>
    </row>
    <row r="29" spans="1:6" ht="30" x14ac:dyDescent="0.25">
      <c r="A29" s="572" t="s">
        <v>928</v>
      </c>
      <c r="B29" s="237" t="s">
        <v>929</v>
      </c>
      <c r="C29" s="237" t="s">
        <v>930</v>
      </c>
      <c r="D29" s="574" t="s">
        <v>931</v>
      </c>
    </row>
    <row r="30" spans="1:6" ht="30" x14ac:dyDescent="0.25">
      <c r="A30" s="572" t="s">
        <v>932</v>
      </c>
      <c r="B30" s="574" t="s">
        <v>933</v>
      </c>
      <c r="C30" s="237" t="s">
        <v>934</v>
      </c>
      <c r="D30" s="237" t="s">
        <v>935</v>
      </c>
    </row>
    <row r="31" spans="1:6" ht="165" x14ac:dyDescent="0.25">
      <c r="A31" s="572" t="s">
        <v>952</v>
      </c>
      <c r="B31" s="574" t="s">
        <v>953</v>
      </c>
      <c r="C31" s="237" t="s">
        <v>1094</v>
      </c>
      <c r="D31" s="237"/>
    </row>
  </sheetData>
  <mergeCells count="1">
    <mergeCell ref="A1:D1"/>
  </mergeCells>
  <pageMargins left="0.51181102362204722" right="0.51181102362204722" top="0.78740157480314965" bottom="0.78740157480314965" header="0.31496062992125984" footer="0.31496062992125984"/>
  <pageSetup paperSize="9" scale="6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12</vt:i4>
      </vt:variant>
    </vt:vector>
  </HeadingPairs>
  <TitlesOfParts>
    <vt:vector size="20" baseType="lpstr">
      <vt:lpstr>RESUMO</vt:lpstr>
      <vt:lpstr>ANALÍTICO</vt:lpstr>
      <vt:lpstr>MEMÓRIA DE CÁLCULO</vt:lpstr>
      <vt:lpstr>CRONOGRAMA</vt:lpstr>
      <vt:lpstr>ELE-VESTIARIOS COPA MOTORISTAS</vt:lpstr>
      <vt:lpstr>COPA TERREO CASARAO- copa sobre</vt:lpstr>
      <vt:lpstr>ELE -GABINETE SALA DE PERICIAS</vt:lpstr>
      <vt:lpstr>resumo cotações</vt:lpstr>
      <vt:lpstr>ANALÍTICO!Area_de_impressao</vt:lpstr>
      <vt:lpstr>'COPA TERREO CASARAO- copa sobre'!Area_de_impressao</vt:lpstr>
      <vt:lpstr>CRONOGRAMA!Area_de_impressao</vt:lpstr>
      <vt:lpstr>'ELE -GABINETE SALA DE PERICIAS'!Area_de_impressao</vt:lpstr>
      <vt:lpstr>'ELE-VESTIARIOS COPA MOTORISTAS'!Area_de_impressao</vt:lpstr>
      <vt:lpstr>RESUMO!Area_de_impressao</vt:lpstr>
      <vt:lpstr>'resumo cotações'!Area_de_impressao</vt:lpstr>
      <vt:lpstr>ANALÍTICO!Titulos_de_impressao</vt:lpstr>
      <vt:lpstr>'COPA TERREO CASARAO- copa sobre'!Titulos_de_impressao</vt:lpstr>
      <vt:lpstr>CRONOGRAMA!Titulos_de_impressao</vt:lpstr>
      <vt:lpstr>'ELE -GABINETE SALA DE PERICIAS'!Titulos_de_impressao</vt:lpstr>
      <vt:lpstr>'ELE-VESTIARIOS COPA MOTORISTAS'!Titulos_de_impressao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Anadélia Trentini Campara</dc:creator>
  <cp:lastModifiedBy>Yole Onuki Ueno</cp:lastModifiedBy>
  <cp:lastPrinted>2015-01-23T11:56:03Z</cp:lastPrinted>
  <dcterms:created xsi:type="dcterms:W3CDTF">2011-09-15T18:47:22Z</dcterms:created>
  <dcterms:modified xsi:type="dcterms:W3CDTF">2015-02-10T14:33:49Z</dcterms:modified>
</cp:coreProperties>
</file>